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https://pjcr-my.sharepoint.com/personal/lbonillab_poder-judicial_go_cr/Documents/2021/Planificación/Inteligencia de Negocio/Indicadores Institucionales/"/>
    </mc:Choice>
  </mc:AlternateContent>
  <xr:revisionPtr revIDLastSave="24" documentId="8_{2D7426AF-8D38-48CA-94D4-4CA621B5D981}" xr6:coauthVersionLast="46" xr6:coauthVersionMax="46" xr10:uidLastSave="{0680F546-400A-4972-B077-F34D0FA5CD13}"/>
  <bookViews>
    <workbookView xWindow="-120" yWindow="-120" windowWidth="29040" windowHeight="15840" xr2:uid="{00000000-000D-0000-FFFF-FFFF00000000}"/>
  </bookViews>
  <sheets>
    <sheet name="Fuentes" sheetId="1" r:id="rId1"/>
    <sheet name="Calculos" sheetId="2" r:id="rId2"/>
    <sheet name="Costo de la justicia" sheetId="13" r:id="rId3"/>
    <sheet name="Cobertura" sheetId="14" r:id="rId4"/>
    <sheet name="Dotación RH" sheetId="15" r:id="rId5"/>
    <sheet name="Carga de trabajo" sheetId="16" r:id="rId6"/>
    <sheet name="Delitos" sheetId="17" r:id="rId7"/>
  </sheets>
  <externalReferences>
    <externalReference r:id="rId8"/>
  </externalReferences>
  <definedNames>
    <definedName name="_xlnm._FilterDatabase" localSheetId="1" hidden="1">Calculos!$A$1:$V$689</definedName>
    <definedName name="_xlnm._FilterDatabase" localSheetId="5" hidden="1">'Carga de trabajo'!$A$1:$R$106</definedName>
    <definedName name="_xlnm._FilterDatabase" localSheetId="3" hidden="1">Cobertura!$A$1:$S$13</definedName>
    <definedName name="_xlnm._FilterDatabase" localSheetId="2" hidden="1">'Costo de la justicia'!$A$1:$Q$84</definedName>
    <definedName name="_xlnm._FilterDatabase" localSheetId="6" hidden="1">Delitos!$A$1:$Q$2</definedName>
    <definedName name="_xlnm._FilterDatabase" localSheetId="4" hidden="1">'Dotación RH'!$A$1:$R$12</definedName>
    <definedName name="_xlnm._FilterDatabase" localSheetId="0" hidden="1">Fuentes!$A$2:$V$2926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7" l="1"/>
  <c r="C2" i="17" s="1"/>
  <c r="B2" i="17"/>
  <c r="D106" i="16"/>
  <c r="C106" i="16" s="1"/>
  <c r="D105" i="16"/>
  <c r="C105" i="16" s="1"/>
  <c r="D104" i="16"/>
  <c r="C104" i="16" s="1"/>
  <c r="D103" i="16"/>
  <c r="C103" i="16" s="1"/>
  <c r="D102" i="16"/>
  <c r="C102" i="16" s="1"/>
  <c r="D101" i="16"/>
  <c r="C101" i="16" s="1"/>
  <c r="D100" i="16"/>
  <c r="C100" i="16" s="1"/>
  <c r="D99" i="16"/>
  <c r="C99" i="16" s="1"/>
  <c r="D98" i="16"/>
  <c r="C98" i="16" s="1"/>
  <c r="D97" i="16"/>
  <c r="C97" i="16" s="1"/>
  <c r="D96" i="16"/>
  <c r="C96" i="16" s="1"/>
  <c r="D95" i="16"/>
  <c r="C95" i="16" s="1"/>
  <c r="D94" i="16"/>
  <c r="C94" i="16" s="1"/>
  <c r="D93" i="16"/>
  <c r="C93" i="16" s="1"/>
  <c r="D92" i="16"/>
  <c r="C92" i="16" s="1"/>
  <c r="D91" i="16"/>
  <c r="C91" i="16" s="1"/>
  <c r="D90" i="16"/>
  <c r="C90" i="16" s="1"/>
  <c r="D89" i="16"/>
  <c r="C89" i="16" s="1"/>
  <c r="D88" i="16"/>
  <c r="C88" i="16" s="1"/>
  <c r="D87" i="16"/>
  <c r="C87" i="16" s="1"/>
  <c r="D86" i="16"/>
  <c r="C86" i="16" s="1"/>
  <c r="D85" i="16"/>
  <c r="C85" i="16" s="1"/>
  <c r="D84" i="16"/>
  <c r="C84" i="16" s="1"/>
  <c r="D83" i="16"/>
  <c r="C83" i="16" s="1"/>
  <c r="D82" i="16"/>
  <c r="C82" i="16" s="1"/>
  <c r="D81" i="16"/>
  <c r="C81" i="16" s="1"/>
  <c r="D80" i="16"/>
  <c r="C80" i="16" s="1"/>
  <c r="D79" i="16"/>
  <c r="C79" i="16" s="1"/>
  <c r="D78" i="16"/>
  <c r="C78" i="16" s="1"/>
  <c r="D77" i="16"/>
  <c r="C77" i="16" s="1"/>
  <c r="D76" i="16"/>
  <c r="C76" i="16" s="1"/>
  <c r="D75" i="16"/>
  <c r="C75" i="16" s="1"/>
  <c r="D74" i="16"/>
  <c r="C74" i="16" s="1"/>
  <c r="D73" i="16"/>
  <c r="C73" i="16" s="1"/>
  <c r="D72" i="16"/>
  <c r="C72" i="16" s="1"/>
  <c r="D71" i="16"/>
  <c r="C71" i="16" s="1"/>
  <c r="D70" i="16"/>
  <c r="C70" i="16" s="1"/>
  <c r="D69" i="16"/>
  <c r="C69" i="16" s="1"/>
  <c r="D68" i="16"/>
  <c r="C68" i="16"/>
  <c r="D67" i="16"/>
  <c r="C67" i="16" s="1"/>
  <c r="D66" i="16"/>
  <c r="C66" i="16" s="1"/>
  <c r="D65" i="16"/>
  <c r="C65" i="16" s="1"/>
  <c r="D64" i="16"/>
  <c r="C64" i="16" s="1"/>
  <c r="D63" i="16"/>
  <c r="C63" i="16" s="1"/>
  <c r="D62" i="16"/>
  <c r="C62" i="16" s="1"/>
  <c r="D61" i="16"/>
  <c r="C61" i="16" s="1"/>
  <c r="D60" i="16"/>
  <c r="C60" i="16"/>
  <c r="D59" i="16"/>
  <c r="C59" i="16" s="1"/>
  <c r="D58" i="16"/>
  <c r="C58" i="16" s="1"/>
  <c r="B58" i="16"/>
  <c r="D57" i="16"/>
  <c r="C57" i="16" s="1"/>
  <c r="B57" i="16"/>
  <c r="D56" i="16"/>
  <c r="C56" i="16" s="1"/>
  <c r="B56" i="16"/>
  <c r="D55" i="16"/>
  <c r="C55" i="16" s="1"/>
  <c r="B55" i="16"/>
  <c r="D54" i="16"/>
  <c r="C54" i="16" s="1"/>
  <c r="B54" i="16"/>
  <c r="D53" i="16"/>
  <c r="C53" i="16" s="1"/>
  <c r="B53" i="16"/>
  <c r="D52" i="16"/>
  <c r="C52" i="16" s="1"/>
  <c r="D51" i="16"/>
  <c r="C51" i="16"/>
  <c r="B51" i="16"/>
  <c r="D50" i="16"/>
  <c r="C50" i="16" s="1"/>
  <c r="B50" i="16"/>
  <c r="D49" i="16"/>
  <c r="C49" i="16" s="1"/>
  <c r="B49" i="16"/>
  <c r="D48" i="16"/>
  <c r="C48" i="16" s="1"/>
  <c r="B48" i="16"/>
  <c r="D47" i="16"/>
  <c r="C47" i="16" s="1"/>
  <c r="B47" i="16"/>
  <c r="D46" i="16"/>
  <c r="C46" i="16"/>
  <c r="B46" i="16"/>
  <c r="D45" i="16"/>
  <c r="C45" i="16" s="1"/>
  <c r="B45" i="16"/>
  <c r="D44" i="16"/>
  <c r="C44" i="16"/>
  <c r="B44" i="16"/>
  <c r="D43" i="16"/>
  <c r="C43" i="16"/>
  <c r="B43" i="16"/>
  <c r="D42" i="16"/>
  <c r="C42" i="16" s="1"/>
  <c r="B42" i="16"/>
  <c r="D41" i="16"/>
  <c r="C41" i="16" s="1"/>
  <c r="B41" i="16"/>
  <c r="D40" i="16"/>
  <c r="C40" i="16" s="1"/>
  <c r="B40" i="16"/>
  <c r="D39" i="16"/>
  <c r="C39" i="16" s="1"/>
  <c r="B39" i="16"/>
  <c r="D38" i="16"/>
  <c r="C38" i="16"/>
  <c r="B38" i="16"/>
  <c r="D37" i="16"/>
  <c r="C37" i="16" s="1"/>
  <c r="B37" i="16"/>
  <c r="D36" i="16"/>
  <c r="C36" i="16"/>
  <c r="B36" i="16"/>
  <c r="D35" i="16"/>
  <c r="C35" i="16"/>
  <c r="B35" i="16"/>
  <c r="D34" i="16"/>
  <c r="C34" i="16" s="1"/>
  <c r="B34" i="16"/>
  <c r="D33" i="16"/>
  <c r="C33" i="16" s="1"/>
  <c r="B33" i="16"/>
  <c r="D32" i="16"/>
  <c r="C32" i="16" s="1"/>
  <c r="B32" i="16"/>
  <c r="D31" i="16"/>
  <c r="C31" i="16" s="1"/>
  <c r="B31" i="16"/>
  <c r="D30" i="16"/>
  <c r="C30" i="16" s="1"/>
  <c r="B30" i="16"/>
  <c r="D29" i="16"/>
  <c r="C29" i="16" s="1"/>
  <c r="B29" i="16"/>
  <c r="D28" i="16"/>
  <c r="C28" i="16"/>
  <c r="B28" i="16"/>
  <c r="D27" i="16"/>
  <c r="C27" i="16" s="1"/>
  <c r="B27" i="16"/>
  <c r="D26" i="16"/>
  <c r="C26" i="16" s="1"/>
  <c r="B26" i="16"/>
  <c r="D25" i="16"/>
  <c r="C25" i="16" s="1"/>
  <c r="B25" i="16"/>
  <c r="D24" i="16"/>
  <c r="C24" i="16" s="1"/>
  <c r="B24" i="16"/>
  <c r="D23" i="16"/>
  <c r="C23" i="16" s="1"/>
  <c r="B23" i="16"/>
  <c r="D22" i="16"/>
  <c r="C22" i="16"/>
  <c r="B22" i="16"/>
  <c r="D21" i="16"/>
  <c r="C21" i="16" s="1"/>
  <c r="B21" i="16"/>
  <c r="D20" i="16"/>
  <c r="C20" i="16" s="1"/>
  <c r="B20" i="16"/>
  <c r="D19" i="16"/>
  <c r="C19" i="16" s="1"/>
  <c r="B19" i="16"/>
  <c r="D18" i="16"/>
  <c r="C18" i="16" s="1"/>
  <c r="B18" i="16"/>
  <c r="D17" i="16"/>
  <c r="C17" i="16" s="1"/>
  <c r="B17" i="16"/>
  <c r="D16" i="16"/>
  <c r="C16" i="16" s="1"/>
  <c r="B16" i="16"/>
  <c r="D15" i="16"/>
  <c r="C15" i="16" s="1"/>
  <c r="B15" i="16"/>
  <c r="D14" i="16"/>
  <c r="C14" i="16"/>
  <c r="B14" i="16"/>
  <c r="D13" i="16"/>
  <c r="C13" i="16" s="1"/>
  <c r="B13" i="16"/>
  <c r="D12" i="16"/>
  <c r="C12" i="16"/>
  <c r="B12" i="16"/>
  <c r="D11" i="16"/>
  <c r="C11" i="16" s="1"/>
  <c r="B11" i="16"/>
  <c r="D10" i="16"/>
  <c r="C10" i="16" s="1"/>
  <c r="D9" i="16"/>
  <c r="C9" i="16" s="1"/>
  <c r="B9" i="16"/>
  <c r="D8" i="16"/>
  <c r="C8" i="16"/>
  <c r="B8" i="16"/>
  <c r="D7" i="16"/>
  <c r="C7" i="16" s="1"/>
  <c r="B7" i="16"/>
  <c r="D6" i="16"/>
  <c r="C6" i="16" s="1"/>
  <c r="B6" i="16"/>
  <c r="D5" i="16"/>
  <c r="C5" i="16" s="1"/>
  <c r="B5" i="16"/>
  <c r="D4" i="16"/>
  <c r="C4" i="16" s="1"/>
  <c r="B4" i="16"/>
  <c r="D3" i="16"/>
  <c r="C3" i="16" s="1"/>
  <c r="B3" i="16"/>
  <c r="D2" i="16"/>
  <c r="C2" i="16" s="1"/>
  <c r="B2" i="16"/>
  <c r="D12" i="15"/>
  <c r="C12" i="15"/>
  <c r="B12" i="15"/>
  <c r="D11" i="15"/>
  <c r="C11" i="15" s="1"/>
  <c r="B11" i="15"/>
  <c r="D10" i="15"/>
  <c r="C10" i="15" s="1"/>
  <c r="B10" i="15"/>
  <c r="D9" i="15"/>
  <c r="C9" i="15" s="1"/>
  <c r="B9" i="15"/>
  <c r="D8" i="15"/>
  <c r="C8" i="15" s="1"/>
  <c r="B8" i="15"/>
  <c r="D7" i="15"/>
  <c r="C7" i="15" s="1"/>
  <c r="B7" i="15"/>
  <c r="D6" i="15"/>
  <c r="C6" i="15" s="1"/>
  <c r="B6" i="15"/>
  <c r="D5" i="15"/>
  <c r="C5" i="15" s="1"/>
  <c r="B5" i="15"/>
  <c r="D4" i="15"/>
  <c r="C4" i="15" s="1"/>
  <c r="B4" i="15"/>
  <c r="D3" i="15"/>
  <c r="C3" i="15" s="1"/>
  <c r="B3" i="15"/>
  <c r="D2" i="15"/>
  <c r="C2" i="15" s="1"/>
  <c r="B2" i="15"/>
  <c r="D13" i="14"/>
  <c r="C13" i="14" s="1"/>
  <c r="D12" i="14"/>
  <c r="C12" i="14" s="1"/>
  <c r="D11" i="14"/>
  <c r="C11" i="14" s="1"/>
  <c r="B11" i="14"/>
  <c r="D10" i="14"/>
  <c r="C10" i="14" s="1"/>
  <c r="B10" i="14"/>
  <c r="D9" i="14"/>
  <c r="C9" i="14" s="1"/>
  <c r="B9" i="14"/>
  <c r="D8" i="14"/>
  <c r="C8" i="14" s="1"/>
  <c r="B8" i="14"/>
  <c r="D7" i="14"/>
  <c r="C7" i="14" s="1"/>
  <c r="B7" i="14"/>
  <c r="D6" i="14"/>
  <c r="C6" i="14" s="1"/>
  <c r="B6" i="14"/>
  <c r="D5" i="14"/>
  <c r="C5" i="14" s="1"/>
  <c r="B5" i="14"/>
  <c r="D4" i="14"/>
  <c r="C4" i="14"/>
  <c r="B4" i="14"/>
  <c r="D3" i="14"/>
  <c r="C3" i="14" s="1"/>
  <c r="B3" i="14"/>
  <c r="D2" i="14"/>
  <c r="C2" i="14" s="1"/>
  <c r="B2" i="14"/>
  <c r="D84" i="13"/>
  <c r="C84" i="13" s="1"/>
  <c r="B84" i="13"/>
  <c r="D83" i="13"/>
  <c r="C83" i="13" s="1"/>
  <c r="B83" i="13"/>
  <c r="D82" i="13"/>
  <c r="C82" i="13" s="1"/>
  <c r="B82" i="13"/>
  <c r="D81" i="13"/>
  <c r="C81" i="13" s="1"/>
  <c r="B81" i="13"/>
  <c r="D80" i="13"/>
  <c r="C80" i="13" s="1"/>
  <c r="B80" i="13"/>
  <c r="D79" i="13"/>
  <c r="C79" i="13" s="1"/>
  <c r="B79" i="13"/>
  <c r="D78" i="13"/>
  <c r="C78" i="13" s="1"/>
  <c r="B78" i="13"/>
  <c r="D77" i="13"/>
  <c r="C77" i="13" s="1"/>
  <c r="B77" i="13"/>
  <c r="D76" i="13"/>
  <c r="C76" i="13" s="1"/>
  <c r="B76" i="13"/>
  <c r="D75" i="13"/>
  <c r="C75" i="13" s="1"/>
  <c r="B75" i="13"/>
  <c r="D74" i="13"/>
  <c r="C74" i="13" s="1"/>
  <c r="D73" i="13"/>
  <c r="C73" i="13" s="1"/>
  <c r="B73" i="13"/>
  <c r="D72" i="13"/>
  <c r="C72" i="13" s="1"/>
  <c r="D71" i="13"/>
  <c r="C71" i="13" s="1"/>
  <c r="B71" i="13"/>
  <c r="D70" i="13"/>
  <c r="C70" i="13" s="1"/>
  <c r="D69" i="13"/>
  <c r="C69" i="13" s="1"/>
  <c r="B69" i="13"/>
  <c r="D68" i="13"/>
  <c r="C68" i="13"/>
  <c r="D67" i="13"/>
  <c r="C67" i="13" s="1"/>
  <c r="B67" i="13"/>
  <c r="D66" i="13"/>
  <c r="C66" i="13" s="1"/>
  <c r="D65" i="13"/>
  <c r="C65" i="13" s="1"/>
  <c r="B65" i="13"/>
  <c r="D64" i="13"/>
  <c r="C64" i="13"/>
  <c r="D63" i="13"/>
  <c r="C63" i="13" s="1"/>
  <c r="B63" i="13"/>
  <c r="D62" i="13"/>
  <c r="C62" i="13" s="1"/>
  <c r="D61" i="13"/>
  <c r="C61" i="13" s="1"/>
  <c r="B61" i="13"/>
  <c r="D60" i="13"/>
  <c r="C60" i="13" s="1"/>
  <c r="D59" i="13"/>
  <c r="C59" i="13" s="1"/>
  <c r="B59" i="13"/>
  <c r="D58" i="13"/>
  <c r="C58" i="13" s="1"/>
  <c r="D57" i="13"/>
  <c r="C57" i="13"/>
  <c r="B57" i="13"/>
  <c r="D56" i="13"/>
  <c r="C56" i="13" s="1"/>
  <c r="D55" i="13"/>
  <c r="C55" i="13" s="1"/>
  <c r="B55" i="13"/>
  <c r="D54" i="13"/>
  <c r="C54" i="13" s="1"/>
  <c r="D53" i="13"/>
  <c r="C53" i="13" s="1"/>
  <c r="B53" i="13"/>
  <c r="D52" i="13"/>
  <c r="C52" i="13" s="1"/>
  <c r="D51" i="13"/>
  <c r="C51" i="13" s="1"/>
  <c r="B51" i="13"/>
  <c r="D50" i="13"/>
  <c r="C50" i="13" s="1"/>
  <c r="D49" i="13"/>
  <c r="C49" i="13" s="1"/>
  <c r="B49" i="13"/>
  <c r="D48" i="13"/>
  <c r="C48" i="13" s="1"/>
  <c r="D47" i="13"/>
  <c r="C47" i="13" s="1"/>
  <c r="B47" i="13"/>
  <c r="D46" i="13"/>
  <c r="C46" i="13" s="1"/>
  <c r="B46" i="13"/>
  <c r="D45" i="13"/>
  <c r="C45" i="13"/>
  <c r="B45" i="13"/>
  <c r="D44" i="13"/>
  <c r="C44" i="13" s="1"/>
  <c r="B44" i="13"/>
  <c r="D43" i="13"/>
  <c r="C43" i="13"/>
  <c r="B43" i="13"/>
  <c r="D42" i="13"/>
  <c r="C42" i="13" s="1"/>
  <c r="B42" i="13"/>
  <c r="D41" i="13"/>
  <c r="C41" i="13" s="1"/>
  <c r="B41" i="13"/>
  <c r="D40" i="13"/>
  <c r="C40" i="13" s="1"/>
  <c r="B40" i="13"/>
  <c r="D39" i="13"/>
  <c r="C39" i="13" s="1"/>
  <c r="B39" i="13"/>
  <c r="D38" i="13"/>
  <c r="C38" i="13" s="1"/>
  <c r="B38" i="13"/>
  <c r="D37" i="13"/>
  <c r="C37" i="13" s="1"/>
  <c r="B37" i="13"/>
  <c r="D36" i="13"/>
  <c r="C36" i="13" s="1"/>
  <c r="B36" i="13"/>
  <c r="D35" i="13"/>
  <c r="C35" i="13" s="1"/>
  <c r="B35" i="13"/>
  <c r="D34" i="13"/>
  <c r="C34" i="13" s="1"/>
  <c r="B34" i="13"/>
  <c r="D33" i="13"/>
  <c r="C33" i="13" s="1"/>
  <c r="B33" i="13"/>
  <c r="D32" i="13"/>
  <c r="C32" i="13" s="1"/>
  <c r="B32" i="13"/>
  <c r="D31" i="13"/>
  <c r="C31" i="13" s="1"/>
  <c r="B31" i="13"/>
  <c r="D30" i="13"/>
  <c r="C30" i="13" s="1"/>
  <c r="B30" i="13"/>
  <c r="D29" i="13"/>
  <c r="C29" i="13" s="1"/>
  <c r="B29" i="13"/>
  <c r="D28" i="13"/>
  <c r="C28" i="13" s="1"/>
  <c r="B28" i="13"/>
  <c r="D27" i="13"/>
  <c r="C27" i="13"/>
  <c r="B27" i="13"/>
  <c r="D26" i="13"/>
  <c r="C26" i="13" s="1"/>
  <c r="B26" i="13"/>
  <c r="D25" i="13"/>
  <c r="C25" i="13" s="1"/>
  <c r="B25" i="13"/>
  <c r="D24" i="13"/>
  <c r="C24" i="13" s="1"/>
  <c r="B24" i="13"/>
  <c r="D23" i="13"/>
  <c r="C23" i="13" s="1"/>
  <c r="B23" i="13"/>
  <c r="D22" i="13"/>
  <c r="C22" i="13" s="1"/>
  <c r="B22" i="13"/>
  <c r="D21" i="13"/>
  <c r="C21" i="13" s="1"/>
  <c r="B21" i="13"/>
  <c r="D20" i="13"/>
  <c r="C20" i="13" s="1"/>
  <c r="B20" i="13"/>
  <c r="D19" i="13"/>
  <c r="C19" i="13"/>
  <c r="B19" i="13"/>
  <c r="D18" i="13"/>
  <c r="C18" i="13" s="1"/>
  <c r="B18" i="13"/>
  <c r="D17" i="13"/>
  <c r="C17" i="13" s="1"/>
  <c r="B17" i="13"/>
  <c r="D16" i="13"/>
  <c r="C16" i="13" s="1"/>
  <c r="B16" i="13"/>
  <c r="D15" i="13"/>
  <c r="C15" i="13" s="1"/>
  <c r="B15" i="13"/>
  <c r="D14" i="13"/>
  <c r="C14" i="13" s="1"/>
  <c r="B14" i="13"/>
  <c r="D13" i="13"/>
  <c r="C13" i="13"/>
  <c r="B13" i="13"/>
  <c r="D12" i="13"/>
  <c r="C12" i="13" s="1"/>
  <c r="B12" i="13"/>
  <c r="D11" i="13"/>
  <c r="C11" i="13"/>
  <c r="B11" i="13"/>
  <c r="D10" i="13"/>
  <c r="C10" i="13" s="1"/>
  <c r="B10" i="13"/>
  <c r="D9" i="13"/>
  <c r="C9" i="13" s="1"/>
  <c r="B9" i="13"/>
  <c r="D8" i="13"/>
  <c r="C8" i="13" s="1"/>
  <c r="B8" i="13"/>
  <c r="D7" i="13"/>
  <c r="C7" i="13" s="1"/>
  <c r="B7" i="13"/>
  <c r="D6" i="13"/>
  <c r="C6" i="13" s="1"/>
  <c r="D5" i="13"/>
  <c r="C5" i="13" s="1"/>
  <c r="D4" i="13"/>
  <c r="C4" i="13" s="1"/>
  <c r="B4" i="13"/>
  <c r="D3" i="13"/>
  <c r="C3" i="13" s="1"/>
  <c r="B3" i="13"/>
  <c r="D2" i="13"/>
  <c r="C2" i="13" s="1"/>
  <c r="B2" i="13"/>
  <c r="T163" i="2"/>
  <c r="Q163" i="2"/>
  <c r="P163" i="2"/>
  <c r="M163" i="2"/>
  <c r="L163" i="2"/>
  <c r="K163" i="2"/>
  <c r="J163" i="2"/>
  <c r="I163" i="2"/>
  <c r="H163" i="2"/>
  <c r="G163" i="2"/>
  <c r="F163" i="2"/>
  <c r="E163" i="2"/>
  <c r="D163" i="2"/>
  <c r="C163" i="2"/>
  <c r="U162" i="2"/>
  <c r="U211" i="2" s="1"/>
  <c r="T162" i="2"/>
  <c r="S162" i="2"/>
  <c r="S112" i="2" s="1"/>
  <c r="R162" i="2"/>
  <c r="Q162" i="2"/>
  <c r="Q112" i="2" s="1"/>
  <c r="P162" i="2"/>
  <c r="O162" i="2"/>
  <c r="N162" i="2"/>
  <c r="M162" i="2"/>
  <c r="L162" i="2"/>
  <c r="K162" i="2"/>
  <c r="K112" i="2" s="1"/>
  <c r="J162" i="2"/>
  <c r="I162" i="2"/>
  <c r="I112" i="2" s="1"/>
  <c r="H162" i="2"/>
  <c r="G162" i="2"/>
  <c r="F162" i="2"/>
  <c r="E162" i="2"/>
  <c r="D162" i="2"/>
  <c r="C162" i="2"/>
  <c r="U161" i="2"/>
  <c r="T161" i="2"/>
  <c r="T112" i="2" s="1"/>
  <c r="S161" i="2"/>
  <c r="R161" i="2"/>
  <c r="Q161" i="2"/>
  <c r="Q210" i="2" s="1"/>
  <c r="P161" i="2"/>
  <c r="O161" i="2"/>
  <c r="N161" i="2"/>
  <c r="M161" i="2"/>
  <c r="L161" i="2"/>
  <c r="K161" i="2"/>
  <c r="J161" i="2"/>
  <c r="J112" i="2" s="1"/>
  <c r="I161" i="2"/>
  <c r="I210" i="2" s="1"/>
  <c r="H161" i="2"/>
  <c r="G161" i="2"/>
  <c r="F161" i="2"/>
  <c r="F112" i="2" s="1"/>
  <c r="E161" i="2"/>
  <c r="D161" i="2"/>
  <c r="D112" i="2" s="1"/>
  <c r="C161" i="2"/>
  <c r="U160" i="2"/>
  <c r="T160" i="2"/>
  <c r="S160" i="2"/>
  <c r="R160" i="2"/>
  <c r="Q160" i="2"/>
  <c r="Q209" i="2" s="1"/>
  <c r="P160" i="2"/>
  <c r="O160" i="2"/>
  <c r="N160" i="2"/>
  <c r="M160" i="2"/>
  <c r="L160" i="2"/>
  <c r="K160" i="2"/>
  <c r="J160" i="2"/>
  <c r="I160" i="2"/>
  <c r="I209" i="2" s="1"/>
  <c r="H160" i="2"/>
  <c r="G160" i="2"/>
  <c r="H209" i="2" s="1"/>
  <c r="F160" i="2"/>
  <c r="E160" i="2"/>
  <c r="D160" i="2"/>
  <c r="C160" i="2"/>
  <c r="U158" i="2"/>
  <c r="T158" i="2"/>
  <c r="S158" i="2"/>
  <c r="R158" i="2"/>
  <c r="P158" i="2"/>
  <c r="O158" i="2"/>
  <c r="N158" i="2"/>
  <c r="M158" i="2"/>
  <c r="L158" i="2"/>
  <c r="K158" i="2"/>
  <c r="J158" i="2"/>
  <c r="I158" i="2"/>
  <c r="H158" i="2"/>
  <c r="G158" i="2"/>
  <c r="F158" i="2"/>
  <c r="E158" i="2"/>
  <c r="D158" i="2"/>
  <c r="C158" i="2"/>
  <c r="U157" i="2"/>
  <c r="T157" i="2"/>
  <c r="S157" i="2"/>
  <c r="R157" i="2"/>
  <c r="Q157" i="2"/>
  <c r="P157" i="2"/>
  <c r="O157" i="2"/>
  <c r="P206" i="2" s="1"/>
  <c r="N157" i="2"/>
  <c r="M157" i="2"/>
  <c r="L157" i="2"/>
  <c r="K157" i="2"/>
  <c r="J157" i="2"/>
  <c r="I157" i="2"/>
  <c r="I206" i="2" s="1"/>
  <c r="H157" i="2"/>
  <c r="G157" i="2"/>
  <c r="H206" i="2" s="1"/>
  <c r="F157" i="2"/>
  <c r="E157" i="2"/>
  <c r="D157" i="2"/>
  <c r="D206" i="2" s="1"/>
  <c r="C157" i="2"/>
  <c r="U156" i="2"/>
  <c r="T156" i="2"/>
  <c r="S156" i="2"/>
  <c r="R156" i="2"/>
  <c r="Q156" i="2"/>
  <c r="O156" i="2"/>
  <c r="N156" i="2"/>
  <c r="N150" i="2" s="1"/>
  <c r="M156" i="2"/>
  <c r="M205" i="2" s="1"/>
  <c r="L156" i="2"/>
  <c r="K156" i="2"/>
  <c r="J156" i="2"/>
  <c r="I156" i="2"/>
  <c r="H156" i="2"/>
  <c r="G156" i="2"/>
  <c r="F156" i="2"/>
  <c r="F150" i="2" s="1"/>
  <c r="E156" i="2"/>
  <c r="E205" i="2" s="1"/>
  <c r="D156" i="2"/>
  <c r="C156" i="2"/>
  <c r="U155" i="2"/>
  <c r="U204" i="2" s="1"/>
  <c r="T155" i="2"/>
  <c r="S155" i="2"/>
  <c r="T204" i="2" s="1"/>
  <c r="R155" i="2"/>
  <c r="Q155" i="2"/>
  <c r="O155" i="2"/>
  <c r="N155" i="2"/>
  <c r="M155" i="2"/>
  <c r="L155" i="2"/>
  <c r="K155" i="2"/>
  <c r="J155" i="2"/>
  <c r="I155" i="2"/>
  <c r="H155" i="2"/>
  <c r="G155" i="2"/>
  <c r="F155" i="2"/>
  <c r="E155" i="2"/>
  <c r="D155" i="2"/>
  <c r="C155" i="2"/>
  <c r="U154" i="2"/>
  <c r="U203" i="2" s="1"/>
  <c r="T154" i="2"/>
  <c r="S154" i="2"/>
  <c r="T203" i="2" s="1"/>
  <c r="R154" i="2"/>
  <c r="Q154" i="2"/>
  <c r="P154" i="2"/>
  <c r="O154" i="2"/>
  <c r="N154" i="2"/>
  <c r="M154" i="2"/>
  <c r="M203" i="2" s="1"/>
  <c r="L154" i="2"/>
  <c r="K154" i="2"/>
  <c r="K203" i="2" s="1"/>
  <c r="J154" i="2"/>
  <c r="I154" i="2"/>
  <c r="H154" i="2"/>
  <c r="G154" i="2"/>
  <c r="F154" i="2"/>
  <c r="E154" i="2"/>
  <c r="E203" i="2" s="1"/>
  <c r="D154" i="2"/>
  <c r="C154" i="2"/>
  <c r="D203" i="2" s="1"/>
  <c r="T153" i="2"/>
  <c r="T202" i="2" s="1"/>
  <c r="S153" i="2"/>
  <c r="R153" i="2"/>
  <c r="R202" i="2" s="1"/>
  <c r="Q153" i="2"/>
  <c r="Q202" i="2" s="1"/>
  <c r="P153" i="2"/>
  <c r="O153" i="2"/>
  <c r="P202" i="2" s="1"/>
  <c r="N153" i="2"/>
  <c r="M153" i="2"/>
  <c r="M202" i="2" s="1"/>
  <c r="L153" i="2"/>
  <c r="K153" i="2"/>
  <c r="J153" i="2"/>
  <c r="J202" i="2" s="1"/>
  <c r="I153" i="2"/>
  <c r="I202" i="2" s="1"/>
  <c r="H153" i="2"/>
  <c r="G153" i="2"/>
  <c r="H202" i="2" s="1"/>
  <c r="F153" i="2"/>
  <c r="E153" i="2"/>
  <c r="E202" i="2" s="1"/>
  <c r="D153" i="2"/>
  <c r="D202" i="2" s="1"/>
  <c r="C153" i="2"/>
  <c r="T152" i="2"/>
  <c r="T150" i="2" s="1"/>
  <c r="S152" i="2"/>
  <c r="S201" i="2" s="1"/>
  <c r="R152" i="2"/>
  <c r="Q152" i="2"/>
  <c r="Q201" i="2" s="1"/>
  <c r="P152" i="2"/>
  <c r="O152" i="2"/>
  <c r="O201" i="2" s="1"/>
  <c r="N152" i="2"/>
  <c r="N201" i="2" s="1"/>
  <c r="M152" i="2"/>
  <c r="L152" i="2"/>
  <c r="L150" i="2" s="1"/>
  <c r="K152" i="2"/>
  <c r="J152" i="2"/>
  <c r="I152" i="2"/>
  <c r="H152" i="2"/>
  <c r="G152" i="2"/>
  <c r="F152" i="2"/>
  <c r="E152" i="2"/>
  <c r="D152" i="2"/>
  <c r="D150" i="2" s="1"/>
  <c r="C152" i="2"/>
  <c r="T151" i="2"/>
  <c r="S151" i="2"/>
  <c r="T200" i="2" s="1"/>
  <c r="R151" i="2"/>
  <c r="Q151" i="2"/>
  <c r="Q200" i="2" s="1"/>
  <c r="P151" i="2"/>
  <c r="O151" i="2"/>
  <c r="N151" i="2"/>
  <c r="M151" i="2"/>
  <c r="M200" i="2" s="1"/>
  <c r="L151" i="2"/>
  <c r="K151" i="2"/>
  <c r="L200" i="2" s="1"/>
  <c r="J151" i="2"/>
  <c r="I151" i="2"/>
  <c r="I200" i="2" s="1"/>
  <c r="H151" i="2"/>
  <c r="H200" i="2" s="1"/>
  <c r="G151" i="2"/>
  <c r="F151" i="2"/>
  <c r="E151" i="2"/>
  <c r="E200" i="2" s="1"/>
  <c r="D151" i="2"/>
  <c r="C151" i="2"/>
  <c r="D200" i="2" s="1"/>
  <c r="S150" i="2"/>
  <c r="J150" i="2"/>
  <c r="G150" i="2"/>
  <c r="U149" i="2"/>
  <c r="T149" i="2"/>
  <c r="S149" i="2"/>
  <c r="R149" i="2"/>
  <c r="Q149" i="2"/>
  <c r="P149" i="2"/>
  <c r="O149" i="2"/>
  <c r="N149" i="2"/>
  <c r="M149" i="2"/>
  <c r="M198" i="2" s="1"/>
  <c r="L149" i="2"/>
  <c r="K149" i="2"/>
  <c r="J149" i="2"/>
  <c r="J198" i="2" s="1"/>
  <c r="I149" i="2"/>
  <c r="H149" i="2"/>
  <c r="G149" i="2"/>
  <c r="F149" i="2"/>
  <c r="E149" i="2"/>
  <c r="E198" i="2" s="1"/>
  <c r="D149" i="2"/>
  <c r="C149" i="2"/>
  <c r="U148" i="2"/>
  <c r="U197" i="2" s="1"/>
  <c r="T148" i="2"/>
  <c r="S148" i="2"/>
  <c r="R148" i="2"/>
  <c r="R197" i="2" s="1"/>
  <c r="Q148" i="2"/>
  <c r="P148" i="2"/>
  <c r="O148" i="2"/>
  <c r="N148" i="2"/>
  <c r="M148" i="2"/>
  <c r="M197" i="2" s="1"/>
  <c r="L148" i="2"/>
  <c r="K148" i="2"/>
  <c r="J148" i="2"/>
  <c r="J197" i="2" s="1"/>
  <c r="I148" i="2"/>
  <c r="H148" i="2"/>
  <c r="G148" i="2"/>
  <c r="F148" i="2"/>
  <c r="E148" i="2"/>
  <c r="E197" i="2" s="1"/>
  <c r="D148" i="2"/>
  <c r="C148" i="2"/>
  <c r="D197" i="2" s="1"/>
  <c r="U147" i="2"/>
  <c r="T147" i="2"/>
  <c r="S147" i="2"/>
  <c r="R147" i="2"/>
  <c r="Q147" i="2"/>
  <c r="P147" i="2"/>
  <c r="O147" i="2"/>
  <c r="N147" i="2"/>
  <c r="N196" i="2" s="1"/>
  <c r="M147" i="2"/>
  <c r="M196" i="2" s="1"/>
  <c r="L147" i="2"/>
  <c r="K147" i="2"/>
  <c r="J147" i="2"/>
  <c r="I147" i="2"/>
  <c r="H147" i="2"/>
  <c r="G147" i="2"/>
  <c r="F147" i="2"/>
  <c r="F196" i="2" s="1"/>
  <c r="E147" i="2"/>
  <c r="E196" i="2" s="1"/>
  <c r="D147" i="2"/>
  <c r="C147" i="2"/>
  <c r="U146" i="2"/>
  <c r="T146" i="2"/>
  <c r="S146" i="2"/>
  <c r="R146" i="2"/>
  <c r="Q146" i="2"/>
  <c r="Q195" i="2" s="1"/>
  <c r="P146" i="2"/>
  <c r="O146" i="2"/>
  <c r="N146" i="2"/>
  <c r="N195" i="2" s="1"/>
  <c r="M146" i="2"/>
  <c r="M195" i="2" s="1"/>
  <c r="L146" i="2"/>
  <c r="K146" i="2"/>
  <c r="J146" i="2"/>
  <c r="I146" i="2"/>
  <c r="I195" i="2" s="1"/>
  <c r="H146" i="2"/>
  <c r="G146" i="2"/>
  <c r="F146" i="2"/>
  <c r="F195" i="2" s="1"/>
  <c r="E146" i="2"/>
  <c r="E195" i="2" s="1"/>
  <c r="D146" i="2"/>
  <c r="C146" i="2"/>
  <c r="D195" i="2" s="1"/>
  <c r="U145" i="2"/>
  <c r="T145" i="2"/>
  <c r="S145" i="2"/>
  <c r="R145" i="2"/>
  <c r="Q145" i="2"/>
  <c r="Q194" i="2" s="1"/>
  <c r="P145" i="2"/>
  <c r="O145" i="2"/>
  <c r="N145" i="2"/>
  <c r="N194" i="2" s="1"/>
  <c r="M145" i="2"/>
  <c r="L145" i="2"/>
  <c r="K145" i="2"/>
  <c r="J145" i="2"/>
  <c r="I145" i="2"/>
  <c r="I194" i="2" s="1"/>
  <c r="H145" i="2"/>
  <c r="G145" i="2"/>
  <c r="F145" i="2"/>
  <c r="F194" i="2" s="1"/>
  <c r="E145" i="2"/>
  <c r="D145" i="2"/>
  <c r="D138" i="2" s="1"/>
  <c r="D109" i="2" s="1"/>
  <c r="C145" i="2"/>
  <c r="U144" i="2"/>
  <c r="T144" i="2"/>
  <c r="S144" i="2"/>
  <c r="R144" i="2"/>
  <c r="Q144" i="2"/>
  <c r="Q193" i="2" s="1"/>
  <c r="P144" i="2"/>
  <c r="O144" i="2"/>
  <c r="O138" i="2" s="1"/>
  <c r="N144" i="2"/>
  <c r="L144" i="2"/>
  <c r="K144" i="2"/>
  <c r="J144" i="2"/>
  <c r="I144" i="2"/>
  <c r="H144" i="2"/>
  <c r="G144" i="2"/>
  <c r="F144" i="2"/>
  <c r="E144" i="2"/>
  <c r="D144" i="2"/>
  <c r="C144" i="2"/>
  <c r="U143" i="2"/>
  <c r="T143" i="2"/>
  <c r="R143" i="2"/>
  <c r="R192" i="2" s="1"/>
  <c r="Q143" i="2"/>
  <c r="P143" i="2"/>
  <c r="O143" i="2"/>
  <c r="N143" i="2"/>
  <c r="M143" i="2"/>
  <c r="M192" i="2" s="1"/>
  <c r="L143" i="2"/>
  <c r="K143" i="2"/>
  <c r="J143" i="2"/>
  <c r="J192" i="2" s="1"/>
  <c r="I143" i="2"/>
  <c r="H143" i="2"/>
  <c r="G143" i="2"/>
  <c r="G138" i="2" s="1"/>
  <c r="F143" i="2"/>
  <c r="E143" i="2"/>
  <c r="E192" i="2" s="1"/>
  <c r="D143" i="2"/>
  <c r="C143" i="2"/>
  <c r="U142" i="2"/>
  <c r="S142" i="2"/>
  <c r="R142" i="2"/>
  <c r="Q142" i="2"/>
  <c r="Q138" i="2" s="1"/>
  <c r="O142" i="2"/>
  <c r="N142" i="2"/>
  <c r="M142" i="2"/>
  <c r="M191" i="2" s="1"/>
  <c r="L142" i="2"/>
  <c r="K142" i="2"/>
  <c r="K191" i="2" s="1"/>
  <c r="J142" i="2"/>
  <c r="I142" i="2"/>
  <c r="I191" i="2" s="1"/>
  <c r="H142" i="2"/>
  <c r="G142" i="2"/>
  <c r="F142" i="2"/>
  <c r="E142" i="2"/>
  <c r="E191" i="2" s="1"/>
  <c r="D142" i="2"/>
  <c r="C142" i="2"/>
  <c r="U141" i="2"/>
  <c r="S141" i="2"/>
  <c r="S190" i="2" s="1"/>
  <c r="R141" i="2"/>
  <c r="R190" i="2" s="1"/>
  <c r="Q141" i="2"/>
  <c r="O141" i="2"/>
  <c r="N141" i="2"/>
  <c r="N190" i="2" s="1"/>
  <c r="M141" i="2"/>
  <c r="L141" i="2"/>
  <c r="K141" i="2"/>
  <c r="J141" i="2"/>
  <c r="H141" i="2"/>
  <c r="G141" i="2"/>
  <c r="E141" i="2"/>
  <c r="E190" i="2" s="1"/>
  <c r="D141" i="2"/>
  <c r="C141" i="2"/>
  <c r="U140" i="2"/>
  <c r="U189" i="2" s="1"/>
  <c r="T140" i="2"/>
  <c r="S140" i="2"/>
  <c r="R140" i="2"/>
  <c r="R189" i="2" s="1"/>
  <c r="Q140" i="2"/>
  <c r="P140" i="2"/>
  <c r="O140" i="2"/>
  <c r="N140" i="2"/>
  <c r="M140" i="2"/>
  <c r="L140" i="2"/>
  <c r="K140" i="2"/>
  <c r="K138" i="2" s="1"/>
  <c r="J140" i="2"/>
  <c r="I140" i="2"/>
  <c r="H140" i="2"/>
  <c r="G140" i="2"/>
  <c r="F140" i="2"/>
  <c r="E140" i="2"/>
  <c r="D140" i="2"/>
  <c r="C140" i="2"/>
  <c r="U139" i="2"/>
  <c r="U188" i="2" s="1"/>
  <c r="T139" i="2"/>
  <c r="S139" i="2"/>
  <c r="R139" i="2"/>
  <c r="R188" i="2" s="1"/>
  <c r="Q139" i="2"/>
  <c r="P139" i="2"/>
  <c r="O139" i="2"/>
  <c r="N139" i="2"/>
  <c r="N138" i="2" s="1"/>
  <c r="M139" i="2"/>
  <c r="L139" i="2"/>
  <c r="K139" i="2"/>
  <c r="J139" i="2"/>
  <c r="I139" i="2"/>
  <c r="H139" i="2"/>
  <c r="H138" i="2" s="1"/>
  <c r="G139" i="2"/>
  <c r="F139" i="2"/>
  <c r="E139" i="2"/>
  <c r="D139" i="2"/>
  <c r="C139" i="2"/>
  <c r="C138" i="2" s="1"/>
  <c r="D187" i="2" s="1"/>
  <c r="U137" i="2"/>
  <c r="T137" i="2"/>
  <c r="T72" i="2" s="1"/>
  <c r="S137" i="2"/>
  <c r="S72" i="2" s="1"/>
  <c r="R137" i="2"/>
  <c r="R72" i="2" s="1"/>
  <c r="Q137" i="2"/>
  <c r="Q186" i="2" s="1"/>
  <c r="P137" i="2"/>
  <c r="O137" i="2"/>
  <c r="N137" i="2"/>
  <c r="M137" i="2"/>
  <c r="L137" i="2"/>
  <c r="L72" i="2" s="1"/>
  <c r="K137" i="2"/>
  <c r="J137" i="2"/>
  <c r="I137" i="2"/>
  <c r="I186" i="2" s="1"/>
  <c r="H137" i="2"/>
  <c r="G137" i="2"/>
  <c r="F137" i="2"/>
  <c r="E137" i="2"/>
  <c r="D137" i="2"/>
  <c r="C137" i="2"/>
  <c r="U136" i="2"/>
  <c r="U185" i="2" s="1"/>
  <c r="T136" i="2"/>
  <c r="R136" i="2"/>
  <c r="Q136" i="2"/>
  <c r="Q185" i="2" s="1"/>
  <c r="P136" i="2"/>
  <c r="O136" i="2"/>
  <c r="N136" i="2"/>
  <c r="N70" i="2" s="1"/>
  <c r="M136" i="2"/>
  <c r="L136" i="2"/>
  <c r="K136" i="2"/>
  <c r="K185" i="2" s="1"/>
  <c r="J136" i="2"/>
  <c r="I136" i="2"/>
  <c r="I185" i="2" s="1"/>
  <c r="H136" i="2"/>
  <c r="G136" i="2"/>
  <c r="F136" i="2"/>
  <c r="C136" i="2"/>
  <c r="U135" i="2"/>
  <c r="U134" i="2" s="1"/>
  <c r="S135" i="2"/>
  <c r="R135" i="2"/>
  <c r="R134" i="2" s="1"/>
  <c r="Q135" i="2"/>
  <c r="Q184" i="2" s="1"/>
  <c r="P135" i="2"/>
  <c r="O135" i="2"/>
  <c r="N135" i="2"/>
  <c r="N134" i="2" s="1"/>
  <c r="M135" i="2"/>
  <c r="L135" i="2"/>
  <c r="L134" i="2" s="1"/>
  <c r="K135" i="2"/>
  <c r="K134" i="2" s="1"/>
  <c r="J135" i="2"/>
  <c r="J134" i="2" s="1"/>
  <c r="I135" i="2"/>
  <c r="I184" i="2" s="1"/>
  <c r="H135" i="2"/>
  <c r="G135" i="2"/>
  <c r="F135" i="2"/>
  <c r="F134" i="2" s="1"/>
  <c r="E135" i="2"/>
  <c r="C135" i="2"/>
  <c r="C134" i="2" s="1"/>
  <c r="P134" i="2"/>
  <c r="O134" i="2"/>
  <c r="H134" i="2"/>
  <c r="G134" i="2"/>
  <c r="S133" i="2"/>
  <c r="R133" i="2"/>
  <c r="Q133" i="2"/>
  <c r="Q70" i="2" s="1"/>
  <c r="O133" i="2"/>
  <c r="O111" i="2" s="1"/>
  <c r="N133" i="2"/>
  <c r="M133" i="2"/>
  <c r="K133" i="2"/>
  <c r="J133" i="2"/>
  <c r="J111" i="2" s="1"/>
  <c r="I133" i="2"/>
  <c r="I182" i="2" s="1"/>
  <c r="H133" i="2"/>
  <c r="G133" i="2"/>
  <c r="G111" i="2" s="1"/>
  <c r="C133" i="2"/>
  <c r="U132" i="2"/>
  <c r="T132" i="2"/>
  <c r="S132" i="2"/>
  <c r="R132" i="2"/>
  <c r="R181" i="2" s="1"/>
  <c r="Q132" i="2"/>
  <c r="Q181" i="2" s="1"/>
  <c r="P132" i="2"/>
  <c r="O132" i="2"/>
  <c r="N132" i="2"/>
  <c r="N181" i="2" s="1"/>
  <c r="M132" i="2"/>
  <c r="K132" i="2"/>
  <c r="K130" i="2" s="1"/>
  <c r="J132" i="2"/>
  <c r="H132" i="2"/>
  <c r="G132" i="2"/>
  <c r="F132" i="2"/>
  <c r="C132" i="2"/>
  <c r="U131" i="2"/>
  <c r="S131" i="2"/>
  <c r="R131" i="2"/>
  <c r="Q131" i="2"/>
  <c r="P131" i="2"/>
  <c r="O131" i="2"/>
  <c r="O180" i="2" s="1"/>
  <c r="N131" i="2"/>
  <c r="M131" i="2"/>
  <c r="M180" i="2" s="1"/>
  <c r="L131" i="2"/>
  <c r="K131" i="2"/>
  <c r="J131" i="2"/>
  <c r="I131" i="2"/>
  <c r="H131" i="2"/>
  <c r="H130" i="2" s="1"/>
  <c r="G131" i="2"/>
  <c r="G180" i="2" s="1"/>
  <c r="F131" i="2"/>
  <c r="C131" i="2"/>
  <c r="C130" i="2" s="1"/>
  <c r="G130" i="2"/>
  <c r="U129" i="2"/>
  <c r="T129" i="2"/>
  <c r="R129" i="2"/>
  <c r="R178" i="2" s="1"/>
  <c r="Q129" i="2"/>
  <c r="P129" i="2"/>
  <c r="P68" i="2" s="1"/>
  <c r="O129" i="2"/>
  <c r="O68" i="2" s="1"/>
  <c r="N129" i="2"/>
  <c r="N178" i="2" s="1"/>
  <c r="M129" i="2"/>
  <c r="M178" i="2" s="1"/>
  <c r="L129" i="2"/>
  <c r="K129" i="2"/>
  <c r="J129" i="2"/>
  <c r="J178" i="2" s="1"/>
  <c r="I129" i="2"/>
  <c r="H129" i="2"/>
  <c r="G129" i="2"/>
  <c r="F129" i="2"/>
  <c r="F178" i="2" s="1"/>
  <c r="E129" i="2"/>
  <c r="E178" i="2" s="1"/>
  <c r="D129" i="2"/>
  <c r="C129" i="2"/>
  <c r="D178" i="2" s="1"/>
  <c r="U128" i="2"/>
  <c r="U177" i="2" s="1"/>
  <c r="T128" i="2"/>
  <c r="S128" i="2"/>
  <c r="S66" i="2" s="1"/>
  <c r="R128" i="2"/>
  <c r="Q128" i="2"/>
  <c r="P128" i="2"/>
  <c r="O128" i="2"/>
  <c r="N128" i="2"/>
  <c r="N177" i="2" s="1"/>
  <c r="M128" i="2"/>
  <c r="M177" i="2" s="1"/>
  <c r="L128" i="2"/>
  <c r="K128" i="2"/>
  <c r="J128" i="2"/>
  <c r="I128" i="2"/>
  <c r="I177" i="2" s="1"/>
  <c r="H128" i="2"/>
  <c r="G128" i="2"/>
  <c r="F128" i="2"/>
  <c r="F177" i="2" s="1"/>
  <c r="E128" i="2"/>
  <c r="E177" i="2" s="1"/>
  <c r="D128" i="2"/>
  <c r="C128" i="2"/>
  <c r="U127" i="2"/>
  <c r="T127" i="2"/>
  <c r="S127" i="2"/>
  <c r="S64" i="2" s="1"/>
  <c r="R127" i="2"/>
  <c r="R64" i="2" s="1"/>
  <c r="P127" i="2"/>
  <c r="O127" i="2"/>
  <c r="N127" i="2"/>
  <c r="M127" i="2"/>
  <c r="L127" i="2"/>
  <c r="K127" i="2"/>
  <c r="J127" i="2"/>
  <c r="J176" i="2" s="1"/>
  <c r="I127" i="2"/>
  <c r="H127" i="2"/>
  <c r="G127" i="2"/>
  <c r="F127" i="2"/>
  <c r="E127" i="2"/>
  <c r="E176" i="2" s="1"/>
  <c r="D127" i="2"/>
  <c r="C127" i="2"/>
  <c r="U126" i="2"/>
  <c r="U175" i="2" s="1"/>
  <c r="T126" i="2"/>
  <c r="S126" i="2"/>
  <c r="R126" i="2"/>
  <c r="P126" i="2"/>
  <c r="O126" i="2"/>
  <c r="O62" i="2" s="1"/>
  <c r="N126" i="2"/>
  <c r="M126" i="2"/>
  <c r="L126" i="2"/>
  <c r="K126" i="2"/>
  <c r="J126" i="2"/>
  <c r="J175" i="2" s="1"/>
  <c r="I126" i="2"/>
  <c r="H126" i="2"/>
  <c r="G126" i="2"/>
  <c r="F126" i="2"/>
  <c r="E126" i="2"/>
  <c r="E175" i="2" s="1"/>
  <c r="D126" i="2"/>
  <c r="C126" i="2"/>
  <c r="U125" i="2"/>
  <c r="U174" i="2" s="1"/>
  <c r="T125" i="2"/>
  <c r="S125" i="2"/>
  <c r="R125" i="2"/>
  <c r="R60" i="2" s="1"/>
  <c r="P125" i="2"/>
  <c r="O125" i="2"/>
  <c r="O60" i="2" s="1"/>
  <c r="N125" i="2"/>
  <c r="N174" i="2" s="1"/>
  <c r="M125" i="2"/>
  <c r="L125" i="2"/>
  <c r="K125" i="2"/>
  <c r="J125" i="2"/>
  <c r="I125" i="2"/>
  <c r="H125" i="2"/>
  <c r="G125" i="2"/>
  <c r="F125" i="2"/>
  <c r="F174" i="2" s="1"/>
  <c r="E125" i="2"/>
  <c r="D125" i="2"/>
  <c r="C125" i="2"/>
  <c r="S124" i="2"/>
  <c r="Q124" i="2"/>
  <c r="P124" i="2"/>
  <c r="O124" i="2"/>
  <c r="O58" i="2" s="1"/>
  <c r="N124" i="2"/>
  <c r="L124" i="2"/>
  <c r="K124" i="2"/>
  <c r="J124" i="2"/>
  <c r="I124" i="2"/>
  <c r="H124" i="2"/>
  <c r="H173" i="2" s="1"/>
  <c r="G124" i="2"/>
  <c r="F124" i="2"/>
  <c r="E124" i="2"/>
  <c r="E173" i="2" s="1"/>
  <c r="D124" i="2"/>
  <c r="C124" i="2"/>
  <c r="U123" i="2"/>
  <c r="T123" i="2"/>
  <c r="S123" i="2"/>
  <c r="S56" i="2" s="1"/>
  <c r="R123" i="2"/>
  <c r="R56" i="2" s="1"/>
  <c r="Q123" i="2"/>
  <c r="Q56" i="2" s="1"/>
  <c r="O123" i="2"/>
  <c r="N123" i="2"/>
  <c r="M123" i="2"/>
  <c r="M172" i="2" s="1"/>
  <c r="L123" i="2"/>
  <c r="K123" i="2"/>
  <c r="J123" i="2"/>
  <c r="I123" i="2"/>
  <c r="H123" i="2"/>
  <c r="H172" i="2" s="1"/>
  <c r="G123" i="2"/>
  <c r="F123" i="2"/>
  <c r="E123" i="2"/>
  <c r="E172" i="2" s="1"/>
  <c r="D123" i="2"/>
  <c r="C123" i="2"/>
  <c r="U122" i="2"/>
  <c r="T122" i="2"/>
  <c r="S122" i="2"/>
  <c r="S54" i="2" s="1"/>
  <c r="R122" i="2"/>
  <c r="Q122" i="2"/>
  <c r="Q54" i="2" s="1"/>
  <c r="P122" i="2"/>
  <c r="P171" i="2" s="1"/>
  <c r="O122" i="2"/>
  <c r="N122" i="2"/>
  <c r="L122" i="2"/>
  <c r="K122" i="2"/>
  <c r="J122" i="2"/>
  <c r="I122" i="2"/>
  <c r="H122" i="2"/>
  <c r="G122" i="2"/>
  <c r="G171" i="2" s="1"/>
  <c r="F122" i="2"/>
  <c r="E122" i="2"/>
  <c r="D122" i="2"/>
  <c r="D171" i="2" s="1"/>
  <c r="C122" i="2"/>
  <c r="U121" i="2"/>
  <c r="U52" i="2" s="1"/>
  <c r="T121" i="2"/>
  <c r="T170" i="2" s="1"/>
  <c r="S121" i="2"/>
  <c r="R121" i="2"/>
  <c r="Q121" i="2"/>
  <c r="P121" i="2"/>
  <c r="O121" i="2"/>
  <c r="N121" i="2"/>
  <c r="M121" i="2"/>
  <c r="M52" i="2" s="1"/>
  <c r="L121" i="2"/>
  <c r="L170" i="2" s="1"/>
  <c r="K121" i="2"/>
  <c r="J121" i="2"/>
  <c r="I121" i="2"/>
  <c r="H121" i="2"/>
  <c r="G121" i="2"/>
  <c r="F121" i="2"/>
  <c r="E121" i="2"/>
  <c r="D121" i="2"/>
  <c r="C121" i="2"/>
  <c r="V120" i="2"/>
  <c r="U120" i="2"/>
  <c r="U50" i="2" s="1"/>
  <c r="S120" i="2"/>
  <c r="R120" i="2"/>
  <c r="R50" i="2" s="1"/>
  <c r="Q120" i="2"/>
  <c r="O120" i="2"/>
  <c r="O50" i="2" s="1"/>
  <c r="L120" i="2"/>
  <c r="K120" i="2"/>
  <c r="J120" i="2"/>
  <c r="I120" i="2"/>
  <c r="H120" i="2"/>
  <c r="G120" i="2"/>
  <c r="F120" i="2"/>
  <c r="E120" i="2"/>
  <c r="D120" i="2"/>
  <c r="C120" i="2"/>
  <c r="T119" i="2"/>
  <c r="T168" i="2" s="1"/>
  <c r="S119" i="2"/>
  <c r="R119" i="2"/>
  <c r="Q119" i="2"/>
  <c r="Q48" i="2" s="1"/>
  <c r="M119" i="2"/>
  <c r="K119" i="2"/>
  <c r="K168" i="2" s="1"/>
  <c r="J119" i="2"/>
  <c r="I119" i="2"/>
  <c r="H119" i="2"/>
  <c r="H168" i="2" s="1"/>
  <c r="G119" i="2"/>
  <c r="F119" i="2"/>
  <c r="E119" i="2"/>
  <c r="D119" i="2"/>
  <c r="C119" i="2"/>
  <c r="C118" i="2" s="1"/>
  <c r="U112" i="2"/>
  <c r="P112" i="2"/>
  <c r="O112" i="2"/>
  <c r="N112" i="2"/>
  <c r="M112" i="2"/>
  <c r="L112" i="2"/>
  <c r="H112" i="2"/>
  <c r="G112" i="2"/>
  <c r="E112" i="2"/>
  <c r="C112" i="2"/>
  <c r="R111" i="2"/>
  <c r="Q111" i="2"/>
  <c r="K111" i="2"/>
  <c r="I111" i="2"/>
  <c r="H111" i="2"/>
  <c r="C111" i="2"/>
  <c r="V96" i="2"/>
  <c r="U96" i="2"/>
  <c r="T96" i="2"/>
  <c r="S96" i="2"/>
  <c r="R96" i="2"/>
  <c r="Q96" i="2"/>
  <c r="P96" i="2"/>
  <c r="O96" i="2"/>
  <c r="N96" i="2"/>
  <c r="M96" i="2"/>
  <c r="L96" i="2"/>
  <c r="J96" i="2"/>
  <c r="I96" i="2"/>
  <c r="F96" i="2"/>
  <c r="E96" i="2"/>
  <c r="D96" i="2"/>
  <c r="C96" i="2"/>
  <c r="V94" i="2"/>
  <c r="U94" i="2"/>
  <c r="T94" i="2"/>
  <c r="S94" i="2"/>
  <c r="R94" i="2"/>
  <c r="Q94" i="2"/>
  <c r="P94" i="2"/>
  <c r="O94" i="2"/>
  <c r="N94" i="2"/>
  <c r="V93" i="2"/>
  <c r="U93" i="2"/>
  <c r="T93" i="2"/>
  <c r="S93" i="2"/>
  <c r="R93" i="2"/>
  <c r="Q93" i="2"/>
  <c r="P93" i="2"/>
  <c r="O93" i="2"/>
  <c r="N93" i="2"/>
  <c r="M93" i="2"/>
  <c r="L93" i="2"/>
  <c r="K93" i="2"/>
  <c r="J93" i="2"/>
  <c r="I93" i="2"/>
  <c r="H93" i="2"/>
  <c r="G93" i="2"/>
  <c r="F93" i="2"/>
  <c r="E93" i="2"/>
  <c r="D93" i="2"/>
  <c r="C93" i="2"/>
  <c r="V92" i="2"/>
  <c r="U92" i="2"/>
  <c r="T92" i="2"/>
  <c r="S92" i="2"/>
  <c r="R92" i="2"/>
  <c r="Q92" i="2"/>
  <c r="P92" i="2"/>
  <c r="O92" i="2"/>
  <c r="N92" i="2"/>
  <c r="M92" i="2"/>
  <c r="L92" i="2"/>
  <c r="K92" i="2"/>
  <c r="J92" i="2"/>
  <c r="I92" i="2"/>
  <c r="H92" i="2"/>
  <c r="G92" i="2"/>
  <c r="F92" i="2"/>
  <c r="E92" i="2"/>
  <c r="D92" i="2"/>
  <c r="C92" i="2"/>
  <c r="V91" i="2"/>
  <c r="U91" i="2"/>
  <c r="T91" i="2"/>
  <c r="S91" i="2"/>
  <c r="R91" i="2"/>
  <c r="Q91" i="2"/>
  <c r="P91" i="2"/>
  <c r="O91" i="2"/>
  <c r="N91" i="2"/>
  <c r="M91" i="2"/>
  <c r="L91" i="2"/>
  <c r="K91" i="2"/>
  <c r="J91" i="2"/>
  <c r="I91" i="2"/>
  <c r="H91" i="2"/>
  <c r="G91" i="2"/>
  <c r="F91" i="2"/>
  <c r="E91" i="2"/>
  <c r="D91" i="2"/>
  <c r="C91" i="2"/>
  <c r="V90" i="2"/>
  <c r="U90" i="2"/>
  <c r="T90" i="2"/>
  <c r="S90" i="2"/>
  <c r="R90" i="2"/>
  <c r="Q90" i="2"/>
  <c r="P90" i="2"/>
  <c r="O90" i="2"/>
  <c r="N90" i="2"/>
  <c r="M90" i="2"/>
  <c r="L90" i="2"/>
  <c r="K90" i="2"/>
  <c r="J90" i="2"/>
  <c r="I90" i="2"/>
  <c r="H90" i="2"/>
  <c r="G90" i="2"/>
  <c r="F90" i="2"/>
  <c r="E90" i="2"/>
  <c r="D90" i="2"/>
  <c r="C90" i="2"/>
  <c r="V89" i="2"/>
  <c r="U89" i="2"/>
  <c r="T89" i="2"/>
  <c r="S89" i="2"/>
  <c r="R89" i="2"/>
  <c r="Q89" i="2"/>
  <c r="P89" i="2"/>
  <c r="V88" i="2"/>
  <c r="U88" i="2"/>
  <c r="T88" i="2"/>
  <c r="S88" i="2"/>
  <c r="R88" i="2"/>
  <c r="Q88" i="2"/>
  <c r="P88" i="2"/>
  <c r="O88" i="2"/>
  <c r="N88" i="2"/>
  <c r="M88" i="2"/>
  <c r="L88" i="2"/>
  <c r="K88" i="2"/>
  <c r="J88" i="2"/>
  <c r="I88" i="2"/>
  <c r="H88" i="2"/>
  <c r="G88" i="2"/>
  <c r="F88" i="2"/>
  <c r="E88" i="2"/>
  <c r="D88" i="2"/>
  <c r="C88" i="2"/>
  <c r="V87" i="2"/>
  <c r="U87" i="2"/>
  <c r="T87" i="2"/>
  <c r="S87" i="2"/>
  <c r="R87" i="2"/>
  <c r="Q87" i="2"/>
  <c r="P87" i="2"/>
  <c r="O87" i="2"/>
  <c r="N87" i="2"/>
  <c r="M87" i="2"/>
  <c r="L87" i="2"/>
  <c r="K87" i="2"/>
  <c r="J87" i="2"/>
  <c r="I87" i="2"/>
  <c r="H87" i="2"/>
  <c r="G87" i="2"/>
  <c r="F87" i="2"/>
  <c r="E87" i="2"/>
  <c r="D87" i="2"/>
  <c r="C87" i="2"/>
  <c r="V86" i="2"/>
  <c r="U86" i="2"/>
  <c r="T86" i="2"/>
  <c r="S86" i="2"/>
  <c r="R86" i="2"/>
  <c r="Q86" i="2"/>
  <c r="P86" i="2"/>
  <c r="O86" i="2"/>
  <c r="N86" i="2"/>
  <c r="M86" i="2"/>
  <c r="L86" i="2"/>
  <c r="K86" i="2"/>
  <c r="J86" i="2"/>
  <c r="I86" i="2"/>
  <c r="H86" i="2"/>
  <c r="G86" i="2"/>
  <c r="F86" i="2"/>
  <c r="E86" i="2"/>
  <c r="D86" i="2"/>
  <c r="C86" i="2"/>
  <c r="U72" i="2"/>
  <c r="Q72" i="2"/>
  <c r="P72" i="2"/>
  <c r="O72" i="2"/>
  <c r="N72" i="2"/>
  <c r="M72" i="2"/>
  <c r="R70" i="2"/>
  <c r="O70" i="2"/>
  <c r="U68" i="2"/>
  <c r="T68" i="2"/>
  <c r="R68" i="2"/>
  <c r="Q68" i="2"/>
  <c r="M68" i="2"/>
  <c r="L68" i="2"/>
  <c r="U66" i="2"/>
  <c r="T66" i="2"/>
  <c r="R66" i="2"/>
  <c r="P66" i="2"/>
  <c r="O66" i="2"/>
  <c r="N66" i="2"/>
  <c r="M66" i="2"/>
  <c r="L66" i="2"/>
  <c r="U64" i="2"/>
  <c r="T64" i="2"/>
  <c r="P64" i="2"/>
  <c r="O64" i="2"/>
  <c r="N64" i="2"/>
  <c r="L64" i="2"/>
  <c r="U62" i="2"/>
  <c r="T62" i="2"/>
  <c r="S62" i="2"/>
  <c r="R62" i="2"/>
  <c r="P62" i="2"/>
  <c r="N62" i="2"/>
  <c r="L62" i="2"/>
  <c r="U60" i="2"/>
  <c r="T60" i="2"/>
  <c r="S60" i="2"/>
  <c r="P60" i="2"/>
  <c r="M60" i="2"/>
  <c r="L60" i="2"/>
  <c r="S58" i="2"/>
  <c r="P58" i="2"/>
  <c r="N58" i="2"/>
  <c r="L58" i="2"/>
  <c r="U56" i="2"/>
  <c r="T56" i="2"/>
  <c r="O56" i="2"/>
  <c r="N56" i="2"/>
  <c r="M56" i="2"/>
  <c r="L56" i="2"/>
  <c r="T54" i="2"/>
  <c r="R54" i="2"/>
  <c r="O54" i="2"/>
  <c r="N54" i="2"/>
  <c r="T52" i="2"/>
  <c r="S52" i="2"/>
  <c r="R52" i="2"/>
  <c r="Q52" i="2"/>
  <c r="P52" i="2"/>
  <c r="O52" i="2"/>
  <c r="N52" i="2"/>
  <c r="L52" i="2"/>
  <c r="V50" i="2"/>
  <c r="S50" i="2"/>
  <c r="Q50" i="2"/>
  <c r="T48" i="2"/>
  <c r="S48" i="2"/>
  <c r="R48" i="2"/>
  <c r="M48" i="2"/>
  <c r="V33" i="2"/>
  <c r="U33" i="2"/>
  <c r="T33" i="2"/>
  <c r="S33" i="2"/>
  <c r="R33" i="2"/>
  <c r="Q33" i="2"/>
  <c r="P33" i="2"/>
  <c r="O33" i="2"/>
  <c r="N33" i="2"/>
  <c r="M33" i="2"/>
  <c r="L33" i="2"/>
  <c r="K33" i="2"/>
  <c r="J33" i="2"/>
  <c r="I33" i="2"/>
  <c r="H33" i="2"/>
  <c r="G33" i="2"/>
  <c r="F33" i="2"/>
  <c r="E33" i="2"/>
  <c r="D33" i="2"/>
  <c r="C33" i="2"/>
  <c r="V24" i="2"/>
  <c r="U24" i="2"/>
  <c r="T24" i="2"/>
  <c r="S24" i="2"/>
  <c r="R24" i="2"/>
  <c r="Q24" i="2"/>
  <c r="P24" i="2"/>
  <c r="O24" i="2"/>
  <c r="N24" i="2"/>
  <c r="M24" i="2"/>
  <c r="L24" i="2"/>
  <c r="K24" i="2"/>
  <c r="J24" i="2"/>
  <c r="I24" i="2"/>
  <c r="H24" i="2"/>
  <c r="G24" i="2"/>
  <c r="F24" i="2"/>
  <c r="E24" i="2"/>
  <c r="D24" i="2"/>
  <c r="C24" i="2"/>
  <c r="V23" i="2"/>
  <c r="U23" i="2"/>
  <c r="T23" i="2"/>
  <c r="S23" i="2"/>
  <c r="R23" i="2"/>
  <c r="Q23" i="2"/>
  <c r="P23" i="2"/>
  <c r="O23" i="2"/>
  <c r="N23" i="2"/>
  <c r="M23" i="2"/>
  <c r="L23" i="2"/>
  <c r="K23" i="2"/>
  <c r="J23" i="2"/>
  <c r="I23" i="2"/>
  <c r="H23" i="2"/>
  <c r="G23" i="2"/>
  <c r="F23" i="2"/>
  <c r="E23" i="2"/>
  <c r="D23" i="2"/>
  <c r="C23" i="2"/>
  <c r="Q12" i="2"/>
  <c r="P12" i="2"/>
  <c r="O12" i="2"/>
  <c r="N12" i="2"/>
  <c r="M12" i="2"/>
  <c r="L12" i="2"/>
  <c r="K12" i="2"/>
  <c r="J12" i="2"/>
  <c r="I12" i="2"/>
  <c r="H12" i="2"/>
  <c r="G12" i="2"/>
  <c r="F12" i="2"/>
  <c r="E12" i="2"/>
  <c r="D12" i="2"/>
  <c r="C12" i="2"/>
  <c r="V11" i="2"/>
  <c r="U11" i="2"/>
  <c r="T11" i="2"/>
  <c r="S11" i="2"/>
  <c r="R11" i="2"/>
  <c r="Q11" i="2"/>
  <c r="P11" i="2"/>
  <c r="O11" i="2"/>
  <c r="N11" i="2"/>
  <c r="V10" i="2"/>
  <c r="U10" i="2"/>
  <c r="T10" i="2"/>
  <c r="S10" i="2"/>
  <c r="R10" i="2"/>
  <c r="Q10" i="2"/>
  <c r="P10" i="2"/>
  <c r="O10" i="2"/>
  <c r="N10" i="2"/>
  <c r="M10" i="2"/>
  <c r="L10" i="2"/>
  <c r="K10" i="2"/>
  <c r="J10" i="2"/>
  <c r="I10" i="2"/>
  <c r="H10" i="2"/>
  <c r="G10" i="2"/>
  <c r="F10" i="2"/>
  <c r="E10" i="2"/>
  <c r="D10" i="2"/>
  <c r="C10" i="2"/>
  <c r="V9" i="2"/>
  <c r="U9" i="2"/>
  <c r="T9" i="2"/>
  <c r="S9" i="2"/>
  <c r="R9" i="2"/>
  <c r="Q9" i="2"/>
  <c r="P9" i="2"/>
  <c r="O9" i="2"/>
  <c r="N9" i="2"/>
  <c r="M9" i="2"/>
  <c r="L9" i="2"/>
  <c r="K9" i="2"/>
  <c r="J9" i="2"/>
  <c r="I9" i="2"/>
  <c r="H9" i="2"/>
  <c r="G9" i="2"/>
  <c r="F9" i="2"/>
  <c r="E9" i="2"/>
  <c r="D9" i="2"/>
  <c r="C9" i="2"/>
  <c r="V8" i="2"/>
  <c r="U8" i="2"/>
  <c r="T8" i="2"/>
  <c r="S8" i="2"/>
  <c r="R8" i="2"/>
  <c r="Q8" i="2"/>
  <c r="P8" i="2"/>
  <c r="O8" i="2"/>
  <c r="N8" i="2"/>
  <c r="M8" i="2"/>
  <c r="L8" i="2"/>
  <c r="K8" i="2"/>
  <c r="J8" i="2"/>
  <c r="I8" i="2"/>
  <c r="H8" i="2"/>
  <c r="G8" i="2"/>
  <c r="F8" i="2"/>
  <c r="E8" i="2"/>
  <c r="D8" i="2"/>
  <c r="C8" i="2"/>
  <c r="K7" i="2"/>
  <c r="J7" i="2"/>
  <c r="I7" i="2"/>
  <c r="H7" i="2"/>
  <c r="G7" i="2"/>
  <c r="F7" i="2"/>
  <c r="E7" i="2"/>
  <c r="D7" i="2"/>
  <c r="C7" i="2"/>
  <c r="V6" i="2"/>
  <c r="U6" i="2"/>
  <c r="T6" i="2"/>
  <c r="S6" i="2"/>
  <c r="R6" i="2"/>
  <c r="Q6" i="2"/>
  <c r="P6" i="2"/>
  <c r="O6" i="2"/>
  <c r="N6" i="2"/>
  <c r="M6" i="2"/>
  <c r="L6" i="2"/>
  <c r="K6" i="2"/>
  <c r="J6" i="2"/>
  <c r="I6" i="2"/>
  <c r="H6" i="2"/>
  <c r="G6" i="2"/>
  <c r="F6" i="2"/>
  <c r="E6" i="2"/>
  <c r="D6" i="2"/>
  <c r="C6" i="2"/>
  <c r="V2" i="2"/>
  <c r="U2" i="2"/>
  <c r="T2" i="2"/>
  <c r="S2" i="2"/>
  <c r="R2" i="2"/>
  <c r="Q2" i="2"/>
  <c r="P2" i="2"/>
  <c r="O2" i="2"/>
  <c r="N2" i="2"/>
  <c r="M2" i="2"/>
  <c r="L2" i="2"/>
  <c r="K2" i="2"/>
  <c r="J2" i="2"/>
  <c r="I2" i="2"/>
  <c r="H2" i="2"/>
  <c r="G2" i="2"/>
  <c r="F2" i="2"/>
  <c r="E2" i="2"/>
  <c r="D2" i="2"/>
  <c r="C2" i="2"/>
  <c r="V2497" i="1"/>
  <c r="U2497" i="1"/>
  <c r="T2497" i="1"/>
  <c r="S2497" i="1"/>
  <c r="R2497" i="1"/>
  <c r="Q2497" i="1"/>
  <c r="P2497" i="1"/>
  <c r="O2497" i="1"/>
  <c r="N2497" i="1"/>
  <c r="M2497" i="1"/>
  <c r="L2497" i="1"/>
  <c r="K2497" i="1"/>
  <c r="J2497" i="1"/>
  <c r="S2496" i="1"/>
  <c r="V2481" i="1"/>
  <c r="U2481" i="1"/>
  <c r="T2481" i="1"/>
  <c r="S2481" i="1"/>
  <c r="R2481" i="1"/>
  <c r="Q2481" i="1"/>
  <c r="P2481" i="1"/>
  <c r="O2481" i="1"/>
  <c r="N2481" i="1"/>
  <c r="M2481" i="1"/>
  <c r="V2466" i="1"/>
  <c r="U2466" i="1"/>
  <c r="T2466" i="1"/>
  <c r="S2466" i="1"/>
  <c r="R2466" i="1"/>
  <c r="Q2466" i="1"/>
  <c r="P2466" i="1"/>
  <c r="O2466" i="1"/>
  <c r="N2466" i="1"/>
  <c r="M2466" i="1"/>
  <c r="V2453" i="1"/>
  <c r="U2453" i="1"/>
  <c r="T2453" i="1"/>
  <c r="V2438" i="1"/>
  <c r="U2438" i="1"/>
  <c r="T2438" i="1"/>
  <c r="V2436" i="1"/>
  <c r="U2436" i="1"/>
  <c r="T2436" i="1"/>
  <c r="V2433" i="1"/>
  <c r="U2433" i="1"/>
  <c r="T2433" i="1"/>
  <c r="V2431" i="1"/>
  <c r="U2431" i="1"/>
  <c r="T2431" i="1"/>
  <c r="V2429" i="1"/>
  <c r="U2429" i="1"/>
  <c r="T2429" i="1"/>
  <c r="V2426" i="1"/>
  <c r="U2426" i="1"/>
  <c r="T2426" i="1"/>
  <c r="V2423" i="1"/>
  <c r="U2423" i="1"/>
  <c r="T2423" i="1"/>
  <c r="V2414" i="1"/>
  <c r="U2414" i="1"/>
  <c r="T2414" i="1"/>
  <c r="V2410" i="1"/>
  <c r="U2410" i="1"/>
  <c r="T2410" i="1"/>
  <c r="V2405" i="1"/>
  <c r="U2405" i="1"/>
  <c r="T2405" i="1"/>
  <c r="V2397" i="1"/>
  <c r="U2397" i="1"/>
  <c r="T2397" i="1"/>
  <c r="V2394" i="1"/>
  <c r="U2394" i="1"/>
  <c r="T2394" i="1"/>
  <c r="V2390" i="1"/>
  <c r="U2390" i="1"/>
  <c r="T2390" i="1"/>
  <c r="V2385" i="1"/>
  <c r="U2385" i="1"/>
  <c r="T2385" i="1"/>
  <c r="V2381" i="1"/>
  <c r="U2381" i="1"/>
  <c r="T2381" i="1"/>
  <c r="V2367" i="1"/>
  <c r="U2367" i="1"/>
  <c r="T2367" i="1"/>
  <c r="V2362" i="1"/>
  <c r="U2362" i="1"/>
  <c r="T2362" i="1"/>
  <c r="V2344" i="1"/>
  <c r="U2344" i="1"/>
  <c r="T2344" i="1"/>
  <c r="V2328" i="1"/>
  <c r="U2328" i="1"/>
  <c r="T2328" i="1"/>
  <c r="V2319" i="1"/>
  <c r="U2319" i="1"/>
  <c r="T2319" i="1"/>
  <c r="V2295" i="1"/>
  <c r="U2295" i="1"/>
  <c r="T2295" i="1"/>
  <c r="V2285" i="1"/>
  <c r="U2285" i="1"/>
  <c r="T2285" i="1"/>
  <c r="V2275" i="1"/>
  <c r="U2275" i="1"/>
  <c r="T2275" i="1"/>
  <c r="V2263" i="1"/>
  <c r="U2263" i="1"/>
  <c r="T2263" i="1"/>
  <c r="V2249" i="1"/>
  <c r="U2249" i="1"/>
  <c r="T2249" i="1"/>
  <c r="V2247" i="1"/>
  <c r="U2247" i="1"/>
  <c r="T2247" i="1"/>
  <c r="V2241" i="1"/>
  <c r="U2241" i="1"/>
  <c r="T2241" i="1"/>
  <c r="V2234" i="1"/>
  <c r="U2234" i="1"/>
  <c r="T2234" i="1"/>
  <c r="V2203" i="1"/>
  <c r="U2203" i="1"/>
  <c r="T2203" i="1"/>
  <c r="V2198" i="1"/>
  <c r="U2198" i="1"/>
  <c r="T2198" i="1"/>
  <c r="V2193" i="1"/>
  <c r="U2193" i="1"/>
  <c r="T2193" i="1"/>
  <c r="V2185" i="1"/>
  <c r="U2185" i="1"/>
  <c r="T2185" i="1"/>
  <c r="V2158" i="1"/>
  <c r="U2158" i="1"/>
  <c r="T2158" i="1"/>
  <c r="V2154" i="1"/>
  <c r="U2154" i="1"/>
  <c r="T2154" i="1"/>
  <c r="V2134" i="1"/>
  <c r="U2134" i="1"/>
  <c r="T2134" i="1"/>
  <c r="V2131" i="1"/>
  <c r="U2131" i="1"/>
  <c r="T2131" i="1"/>
  <c r="S2131" i="1"/>
  <c r="R2131" i="1"/>
  <c r="Q2131" i="1"/>
  <c r="P2131" i="1"/>
  <c r="O2131" i="1"/>
  <c r="N2131" i="1"/>
  <c r="M2131" i="1"/>
  <c r="L2131" i="1"/>
  <c r="K2131" i="1"/>
  <c r="J2131" i="1"/>
  <c r="I2131" i="1"/>
  <c r="H2131" i="1"/>
  <c r="G2131" i="1"/>
  <c r="F2131" i="1"/>
  <c r="E2131" i="1"/>
  <c r="D2131" i="1"/>
  <c r="C2131" i="1"/>
  <c r="V2107" i="1"/>
  <c r="V2105" i="1" s="1"/>
  <c r="V2103" i="1" s="1"/>
  <c r="U2107" i="1"/>
  <c r="U2105" i="1" s="1"/>
  <c r="U2103" i="1" s="1"/>
  <c r="T2107" i="1"/>
  <c r="S2107" i="1"/>
  <c r="R2107" i="1"/>
  <c r="Q2107" i="1"/>
  <c r="P2107" i="1"/>
  <c r="O2107" i="1"/>
  <c r="O2105" i="1" s="1"/>
  <c r="O2103" i="1" s="1"/>
  <c r="N2107" i="1"/>
  <c r="N2105" i="1" s="1"/>
  <c r="N2103" i="1" s="1"/>
  <c r="M2107" i="1"/>
  <c r="M2105" i="1" s="1"/>
  <c r="M2103" i="1" s="1"/>
  <c r="L2107" i="1"/>
  <c r="K2107" i="1"/>
  <c r="J2107" i="1"/>
  <c r="I2107" i="1"/>
  <c r="H2107" i="1"/>
  <c r="G2107" i="1"/>
  <c r="G2105" i="1" s="1"/>
  <c r="G2103" i="1" s="1"/>
  <c r="F2107" i="1"/>
  <c r="F2105" i="1" s="1"/>
  <c r="F2103" i="1" s="1"/>
  <c r="E2107" i="1"/>
  <c r="E2105" i="1" s="1"/>
  <c r="E2103" i="1" s="1"/>
  <c r="D2107" i="1"/>
  <c r="C2107" i="1"/>
  <c r="T2105" i="1"/>
  <c r="S2105" i="1"/>
  <c r="S2103" i="1" s="1"/>
  <c r="R2105" i="1"/>
  <c r="R2103" i="1" s="1"/>
  <c r="Q2105" i="1"/>
  <c r="Q2103" i="1" s="1"/>
  <c r="P2105" i="1"/>
  <c r="P2103" i="1" s="1"/>
  <c r="L2105" i="1"/>
  <c r="K2105" i="1"/>
  <c r="J2105" i="1"/>
  <c r="J2103" i="1" s="1"/>
  <c r="I2105" i="1"/>
  <c r="I2103" i="1" s="1"/>
  <c r="H2105" i="1"/>
  <c r="D2105" i="1"/>
  <c r="D2103" i="1" s="1"/>
  <c r="C2105" i="1"/>
  <c r="C2103" i="1" s="1"/>
  <c r="T2103" i="1"/>
  <c r="L2103" i="1"/>
  <c r="K2103" i="1"/>
  <c r="H2103" i="1"/>
  <c r="U2102" i="1"/>
  <c r="T2102" i="1"/>
  <c r="S2102" i="1"/>
  <c r="R2102" i="1"/>
  <c r="N2102" i="1"/>
  <c r="M2102" i="1"/>
  <c r="L2102" i="1"/>
  <c r="J2102" i="1"/>
  <c r="V2091" i="1"/>
  <c r="U2091" i="1"/>
  <c r="T2091" i="1"/>
  <c r="S2091" i="1"/>
  <c r="R2091" i="1"/>
  <c r="Q2091" i="1"/>
  <c r="P2091" i="1"/>
  <c r="O2091" i="1"/>
  <c r="N2091" i="1"/>
  <c r="M2091" i="1"/>
  <c r="L2091" i="1"/>
  <c r="K2091" i="1"/>
  <c r="J2091" i="1"/>
  <c r="I2091" i="1"/>
  <c r="H2091" i="1"/>
  <c r="G2091" i="1"/>
  <c r="F2091" i="1"/>
  <c r="E2091" i="1"/>
  <c r="D2091" i="1"/>
  <c r="C2091" i="1"/>
  <c r="V2038" i="1"/>
  <c r="U2038" i="1"/>
  <c r="T2038" i="1"/>
  <c r="S2038" i="1"/>
  <c r="R2038" i="1"/>
  <c r="Q2038" i="1"/>
  <c r="P2038" i="1"/>
  <c r="O2038" i="1"/>
  <c r="N2038" i="1"/>
  <c r="M2038" i="1"/>
  <c r="L2038" i="1"/>
  <c r="K2038" i="1"/>
  <c r="J2038" i="1"/>
  <c r="I2038" i="1"/>
  <c r="H2038" i="1"/>
  <c r="G2038" i="1"/>
  <c r="F2038" i="1"/>
  <c r="E2038" i="1"/>
  <c r="D2038" i="1"/>
  <c r="C2038" i="1"/>
  <c r="V2015" i="1"/>
  <c r="U2015" i="1"/>
  <c r="T2015" i="1"/>
  <c r="S2015" i="1"/>
  <c r="R2015" i="1"/>
  <c r="Q2015" i="1"/>
  <c r="P2015" i="1"/>
  <c r="O2015" i="1"/>
  <c r="N2015" i="1"/>
  <c r="M2015" i="1"/>
  <c r="L2015" i="1"/>
  <c r="K2015" i="1"/>
  <c r="J2015" i="1"/>
  <c r="I2015" i="1"/>
  <c r="H2015" i="1"/>
  <c r="G2015" i="1"/>
  <c r="F2015" i="1"/>
  <c r="E2015" i="1"/>
  <c r="D2015" i="1"/>
  <c r="C2015" i="1"/>
  <c r="V2002" i="1"/>
  <c r="U2002" i="1"/>
  <c r="T2002" i="1"/>
  <c r="S2002" i="1"/>
  <c r="R2002" i="1"/>
  <c r="Q2002" i="1"/>
  <c r="P2002" i="1"/>
  <c r="O2002" i="1"/>
  <c r="N2002" i="1"/>
  <c r="M2002" i="1"/>
  <c r="L2002" i="1"/>
  <c r="K2002" i="1"/>
  <c r="J2002" i="1"/>
  <c r="I2002" i="1"/>
  <c r="H2002" i="1"/>
  <c r="G2002" i="1"/>
  <c r="F2002" i="1"/>
  <c r="E2002" i="1"/>
  <c r="D2002" i="1"/>
  <c r="C2002" i="1"/>
  <c r="V1994" i="1"/>
  <c r="U1994" i="1"/>
  <c r="T1994" i="1"/>
  <c r="S1994" i="1"/>
  <c r="R1994" i="1"/>
  <c r="Q1994" i="1"/>
  <c r="P1994" i="1"/>
  <c r="O1994" i="1"/>
  <c r="N1994" i="1"/>
  <c r="M1994" i="1"/>
  <c r="L1994" i="1"/>
  <c r="K1994" i="1"/>
  <c r="J1994" i="1"/>
  <c r="I1994" i="1"/>
  <c r="H1994" i="1"/>
  <c r="G1994" i="1"/>
  <c r="F1994" i="1"/>
  <c r="E1994" i="1"/>
  <c r="D1994" i="1"/>
  <c r="C1994" i="1"/>
  <c r="V1982" i="1"/>
  <c r="U1982" i="1"/>
  <c r="T1982" i="1"/>
  <c r="S1982" i="1"/>
  <c r="R1982" i="1"/>
  <c r="Q1982" i="1"/>
  <c r="P1982" i="1"/>
  <c r="O1982" i="1"/>
  <c r="N1982" i="1"/>
  <c r="M1982" i="1"/>
  <c r="L1982" i="1"/>
  <c r="K1982" i="1"/>
  <c r="J1982" i="1"/>
  <c r="I1982" i="1"/>
  <c r="H1982" i="1"/>
  <c r="G1982" i="1"/>
  <c r="F1982" i="1"/>
  <c r="E1982" i="1"/>
  <c r="D1982" i="1"/>
  <c r="C1982" i="1"/>
  <c r="V1974" i="1"/>
  <c r="U1974" i="1"/>
  <c r="T1974" i="1"/>
  <c r="S1974" i="1"/>
  <c r="R1974" i="1"/>
  <c r="Q1974" i="1"/>
  <c r="P1974" i="1"/>
  <c r="O1974" i="1"/>
  <c r="N1974" i="1"/>
  <c r="M1974" i="1"/>
  <c r="L1974" i="1"/>
  <c r="K1974" i="1"/>
  <c r="J1974" i="1"/>
  <c r="I1974" i="1"/>
  <c r="H1974" i="1"/>
  <c r="G1974" i="1"/>
  <c r="F1974" i="1"/>
  <c r="E1974" i="1"/>
  <c r="D1974" i="1"/>
  <c r="C1974" i="1"/>
  <c r="V1955" i="1"/>
  <c r="U1955" i="1"/>
  <c r="T1955" i="1"/>
  <c r="S1955" i="1"/>
  <c r="R1955" i="1"/>
  <c r="Q1955" i="1"/>
  <c r="P1955" i="1"/>
  <c r="O1955" i="1"/>
  <c r="N1955" i="1"/>
  <c r="M1955" i="1"/>
  <c r="L1955" i="1"/>
  <c r="K1955" i="1"/>
  <c r="J1955" i="1"/>
  <c r="I1955" i="1"/>
  <c r="H1955" i="1"/>
  <c r="G1955" i="1"/>
  <c r="F1955" i="1"/>
  <c r="E1955" i="1"/>
  <c r="D1955" i="1"/>
  <c r="C1955" i="1"/>
  <c r="V1939" i="1"/>
  <c r="U1939" i="1"/>
  <c r="T1939" i="1"/>
  <c r="S1939" i="1"/>
  <c r="R1939" i="1"/>
  <c r="Q1939" i="1"/>
  <c r="P1939" i="1"/>
  <c r="O1939" i="1"/>
  <c r="N1939" i="1"/>
  <c r="M1939" i="1"/>
  <c r="L1939" i="1"/>
  <c r="K1939" i="1"/>
  <c r="J1939" i="1"/>
  <c r="I1939" i="1"/>
  <c r="H1939" i="1"/>
  <c r="G1939" i="1"/>
  <c r="F1939" i="1"/>
  <c r="E1939" i="1"/>
  <c r="D1939" i="1"/>
  <c r="C1939" i="1"/>
  <c r="V1933" i="1"/>
  <c r="U1933" i="1"/>
  <c r="T1933" i="1"/>
  <c r="S1933" i="1"/>
  <c r="R1933" i="1"/>
  <c r="Q1933" i="1"/>
  <c r="P1933" i="1"/>
  <c r="O1933" i="1"/>
  <c r="N1933" i="1"/>
  <c r="M1933" i="1"/>
  <c r="L1933" i="1"/>
  <c r="K1933" i="1"/>
  <c r="J1933" i="1"/>
  <c r="I1933" i="1"/>
  <c r="H1933" i="1"/>
  <c r="G1933" i="1"/>
  <c r="F1933" i="1"/>
  <c r="E1933" i="1"/>
  <c r="D1933" i="1"/>
  <c r="C1933" i="1"/>
  <c r="V1918" i="1"/>
  <c r="U1918" i="1"/>
  <c r="T1918" i="1"/>
  <c r="S1918" i="1"/>
  <c r="R1918" i="1"/>
  <c r="Q1918" i="1"/>
  <c r="P1918" i="1"/>
  <c r="O1918" i="1"/>
  <c r="N1918" i="1"/>
  <c r="M1918" i="1"/>
  <c r="L1918" i="1"/>
  <c r="K1918" i="1"/>
  <c r="J1918" i="1"/>
  <c r="I1918" i="1"/>
  <c r="H1918" i="1"/>
  <c r="G1918" i="1"/>
  <c r="F1918" i="1"/>
  <c r="E1918" i="1"/>
  <c r="D1918" i="1"/>
  <c r="C1918" i="1"/>
  <c r="V1910" i="1"/>
  <c r="U1910" i="1"/>
  <c r="T1910" i="1"/>
  <c r="S1910" i="1"/>
  <c r="R1910" i="1"/>
  <c r="Q1910" i="1"/>
  <c r="P1910" i="1"/>
  <c r="O1910" i="1"/>
  <c r="N1910" i="1"/>
  <c r="M1910" i="1"/>
  <c r="L1910" i="1"/>
  <c r="K1910" i="1"/>
  <c r="J1910" i="1"/>
  <c r="I1910" i="1"/>
  <c r="H1910" i="1"/>
  <c r="G1910" i="1"/>
  <c r="F1910" i="1"/>
  <c r="E1910" i="1"/>
  <c r="D1910" i="1"/>
  <c r="C1910" i="1"/>
  <c r="V1895" i="1"/>
  <c r="U1895" i="1"/>
  <c r="T1895" i="1"/>
  <c r="S1895" i="1"/>
  <c r="R1895" i="1"/>
  <c r="Q1895" i="1"/>
  <c r="P1895" i="1"/>
  <c r="O1895" i="1"/>
  <c r="N1895" i="1"/>
  <c r="M1895" i="1"/>
  <c r="L1895" i="1"/>
  <c r="K1895" i="1"/>
  <c r="J1895" i="1"/>
  <c r="I1895" i="1"/>
  <c r="H1895" i="1"/>
  <c r="G1895" i="1"/>
  <c r="F1895" i="1"/>
  <c r="E1895" i="1"/>
  <c r="D1895" i="1"/>
  <c r="C1895" i="1"/>
  <c r="V1867" i="1"/>
  <c r="U1867" i="1"/>
  <c r="T1867" i="1"/>
  <c r="S1867" i="1"/>
  <c r="R1867" i="1"/>
  <c r="Q1867" i="1"/>
  <c r="P1867" i="1"/>
  <c r="O1867" i="1"/>
  <c r="N1867" i="1"/>
  <c r="M1867" i="1"/>
  <c r="L1867" i="1"/>
  <c r="K1867" i="1"/>
  <c r="J1867" i="1"/>
  <c r="I1867" i="1"/>
  <c r="H1867" i="1"/>
  <c r="G1867" i="1"/>
  <c r="F1867" i="1"/>
  <c r="E1867" i="1"/>
  <c r="D1867" i="1"/>
  <c r="C1867" i="1"/>
  <c r="V1849" i="1"/>
  <c r="U1849" i="1"/>
  <c r="T1849" i="1"/>
  <c r="S1849" i="1"/>
  <c r="R1849" i="1"/>
  <c r="Q1849" i="1"/>
  <c r="P1849" i="1"/>
  <c r="O1849" i="1"/>
  <c r="N1849" i="1"/>
  <c r="M1849" i="1"/>
  <c r="L1849" i="1"/>
  <c r="K1849" i="1"/>
  <c r="J1849" i="1"/>
  <c r="I1849" i="1"/>
  <c r="H1849" i="1"/>
  <c r="G1849" i="1"/>
  <c r="F1849" i="1"/>
  <c r="E1849" i="1"/>
  <c r="D1849" i="1"/>
  <c r="C1849" i="1"/>
  <c r="V1835" i="1"/>
  <c r="U1835" i="1"/>
  <c r="T1835" i="1"/>
  <c r="S1835" i="1"/>
  <c r="R1835" i="1"/>
  <c r="Q1835" i="1"/>
  <c r="P1835" i="1"/>
  <c r="O1835" i="1"/>
  <c r="N1835" i="1"/>
  <c r="M1835" i="1"/>
  <c r="L1835" i="1"/>
  <c r="K1835" i="1"/>
  <c r="J1835" i="1"/>
  <c r="I1835" i="1"/>
  <c r="H1835" i="1"/>
  <c r="G1835" i="1"/>
  <c r="F1835" i="1"/>
  <c r="E1835" i="1"/>
  <c r="D1835" i="1"/>
  <c r="C1835" i="1"/>
  <c r="V1824" i="1"/>
  <c r="U1824" i="1"/>
  <c r="T1824" i="1"/>
  <c r="S1824" i="1"/>
  <c r="R1824" i="1"/>
  <c r="Q1824" i="1"/>
  <c r="P1824" i="1"/>
  <c r="O1824" i="1"/>
  <c r="N1824" i="1"/>
  <c r="M1824" i="1"/>
  <c r="M1622" i="1" s="1"/>
  <c r="L1824" i="1"/>
  <c r="K1824" i="1"/>
  <c r="K1622" i="1" s="1"/>
  <c r="J1824" i="1"/>
  <c r="I1824" i="1"/>
  <c r="H1824" i="1"/>
  <c r="G1824" i="1"/>
  <c r="F1824" i="1"/>
  <c r="E1824" i="1"/>
  <c r="E1622" i="1" s="1"/>
  <c r="D1824" i="1"/>
  <c r="C1824" i="1"/>
  <c r="C1622" i="1" s="1"/>
  <c r="V1820" i="1"/>
  <c r="U1820" i="1"/>
  <c r="T1820" i="1"/>
  <c r="S1820" i="1"/>
  <c r="R1820" i="1"/>
  <c r="Q1820" i="1"/>
  <c r="P1820" i="1"/>
  <c r="O1820" i="1"/>
  <c r="O1622" i="1" s="1"/>
  <c r="O574" i="1" s="1"/>
  <c r="N1820" i="1"/>
  <c r="M1820" i="1"/>
  <c r="L1820" i="1"/>
  <c r="K1820" i="1"/>
  <c r="J1820" i="1"/>
  <c r="I1820" i="1"/>
  <c r="H1820" i="1"/>
  <c r="G1820" i="1"/>
  <c r="G1622" i="1" s="1"/>
  <c r="F1820" i="1"/>
  <c r="E1820" i="1"/>
  <c r="D1820" i="1"/>
  <c r="C1820" i="1"/>
  <c r="T1808" i="1"/>
  <c r="V1796" i="1"/>
  <c r="U1796" i="1"/>
  <c r="T1796" i="1"/>
  <c r="S1796" i="1"/>
  <c r="R1796" i="1"/>
  <c r="Q1796" i="1"/>
  <c r="P1796" i="1"/>
  <c r="O1796" i="1"/>
  <c r="N1796" i="1"/>
  <c r="M1796" i="1"/>
  <c r="L1796" i="1"/>
  <c r="K1796" i="1"/>
  <c r="J1796" i="1"/>
  <c r="I1796" i="1"/>
  <c r="H1796" i="1"/>
  <c r="G1796" i="1"/>
  <c r="F1796" i="1"/>
  <c r="E1796" i="1"/>
  <c r="D1796" i="1"/>
  <c r="C1796" i="1"/>
  <c r="V1783" i="1"/>
  <c r="U1783" i="1"/>
  <c r="T1783" i="1"/>
  <c r="S1783" i="1"/>
  <c r="R1783" i="1"/>
  <c r="Q1783" i="1"/>
  <c r="P1783" i="1"/>
  <c r="O1783" i="1"/>
  <c r="N1783" i="1"/>
  <c r="M1783" i="1"/>
  <c r="L1783" i="1"/>
  <c r="K1783" i="1"/>
  <c r="J1783" i="1"/>
  <c r="I1783" i="1"/>
  <c r="H1783" i="1"/>
  <c r="G1783" i="1"/>
  <c r="F1783" i="1"/>
  <c r="E1783" i="1"/>
  <c r="D1783" i="1"/>
  <c r="C1783" i="1"/>
  <c r="V1741" i="1"/>
  <c r="U1741" i="1"/>
  <c r="T1741" i="1"/>
  <c r="S1741" i="1"/>
  <c r="R1741" i="1"/>
  <c r="Q1741" i="1"/>
  <c r="P1741" i="1"/>
  <c r="O1741" i="1"/>
  <c r="N1741" i="1"/>
  <c r="M1741" i="1"/>
  <c r="L1741" i="1"/>
  <c r="K1741" i="1"/>
  <c r="J1741" i="1"/>
  <c r="I1741" i="1"/>
  <c r="H1741" i="1"/>
  <c r="G1741" i="1"/>
  <c r="F1741" i="1"/>
  <c r="E1741" i="1"/>
  <c r="D1741" i="1"/>
  <c r="C1741" i="1"/>
  <c r="V1726" i="1"/>
  <c r="U1726" i="1"/>
  <c r="T1726" i="1"/>
  <c r="S1726" i="1"/>
  <c r="R1726" i="1"/>
  <c r="Q1726" i="1"/>
  <c r="P1726" i="1"/>
  <c r="O1726" i="1"/>
  <c r="N1726" i="1"/>
  <c r="M1726" i="1"/>
  <c r="L1726" i="1"/>
  <c r="K1726" i="1"/>
  <c r="J1726" i="1"/>
  <c r="I1726" i="1"/>
  <c r="H1726" i="1"/>
  <c r="G1726" i="1"/>
  <c r="F1726" i="1"/>
  <c r="E1726" i="1"/>
  <c r="D1726" i="1"/>
  <c r="C1726" i="1"/>
  <c r="V1721" i="1"/>
  <c r="U1721" i="1"/>
  <c r="T1721" i="1"/>
  <c r="S1721" i="1"/>
  <c r="R1721" i="1"/>
  <c r="Q1721" i="1"/>
  <c r="P1721" i="1"/>
  <c r="O1721" i="1"/>
  <c r="N1721" i="1"/>
  <c r="M1721" i="1"/>
  <c r="L1721" i="1"/>
  <c r="K1721" i="1"/>
  <c r="J1721" i="1"/>
  <c r="I1721" i="1"/>
  <c r="H1721" i="1"/>
  <c r="G1721" i="1"/>
  <c r="F1721" i="1"/>
  <c r="E1721" i="1"/>
  <c r="D1721" i="1"/>
  <c r="C1721" i="1"/>
  <c r="V1713" i="1"/>
  <c r="U1713" i="1"/>
  <c r="T1713" i="1"/>
  <c r="S1713" i="1"/>
  <c r="R1713" i="1"/>
  <c r="Q1713" i="1"/>
  <c r="P1713" i="1"/>
  <c r="O1713" i="1"/>
  <c r="N1713" i="1"/>
  <c r="M1713" i="1"/>
  <c r="L1713" i="1"/>
  <c r="K1713" i="1"/>
  <c r="J1713" i="1"/>
  <c r="I1713" i="1"/>
  <c r="H1713" i="1"/>
  <c r="G1713" i="1"/>
  <c r="F1713" i="1"/>
  <c r="E1713" i="1"/>
  <c r="D1713" i="1"/>
  <c r="C1713" i="1"/>
  <c r="V1694" i="1"/>
  <c r="U1694" i="1"/>
  <c r="T1694" i="1"/>
  <c r="S1694" i="1"/>
  <c r="R1694" i="1"/>
  <c r="Q1694" i="1"/>
  <c r="P1694" i="1"/>
  <c r="O1694" i="1"/>
  <c r="N1694" i="1"/>
  <c r="M1694" i="1"/>
  <c r="L1694" i="1"/>
  <c r="K1694" i="1"/>
  <c r="J1694" i="1"/>
  <c r="I1694" i="1"/>
  <c r="H1694" i="1"/>
  <c r="G1694" i="1"/>
  <c r="F1694" i="1"/>
  <c r="E1694" i="1"/>
  <c r="D1694" i="1"/>
  <c r="C1694" i="1"/>
  <c r="V1689" i="1"/>
  <c r="V1661" i="1" s="1"/>
  <c r="U1661" i="1"/>
  <c r="T1661" i="1"/>
  <c r="S1661" i="1"/>
  <c r="R1661" i="1"/>
  <c r="Q1661" i="1"/>
  <c r="P1661" i="1"/>
  <c r="O1661" i="1"/>
  <c r="N1661" i="1"/>
  <c r="M1661" i="1"/>
  <c r="L1661" i="1"/>
  <c r="K1661" i="1"/>
  <c r="J1661" i="1"/>
  <c r="I1661" i="1"/>
  <c r="H1661" i="1"/>
  <c r="G1661" i="1"/>
  <c r="F1661" i="1"/>
  <c r="E1661" i="1"/>
  <c r="D1661" i="1"/>
  <c r="C1661" i="1"/>
  <c r="U1656" i="1"/>
  <c r="U1652" i="1" s="1"/>
  <c r="T1656" i="1"/>
  <c r="T1652" i="1" s="1"/>
  <c r="V1652" i="1"/>
  <c r="S1652" i="1"/>
  <c r="R1652" i="1"/>
  <c r="Q1652" i="1"/>
  <c r="P1652" i="1"/>
  <c r="O1652" i="1"/>
  <c r="N1652" i="1"/>
  <c r="N1622" i="1" s="1"/>
  <c r="M1652" i="1"/>
  <c r="L1652" i="1"/>
  <c r="K1652" i="1"/>
  <c r="J1652" i="1"/>
  <c r="I1652" i="1"/>
  <c r="H1652" i="1"/>
  <c r="G1652" i="1"/>
  <c r="F1652" i="1"/>
  <c r="F1622" i="1" s="1"/>
  <c r="E1652" i="1"/>
  <c r="D1652" i="1"/>
  <c r="C1652" i="1"/>
  <c r="V1623" i="1"/>
  <c r="U1623" i="1"/>
  <c r="T1623" i="1"/>
  <c r="S1623" i="1"/>
  <c r="R1623" i="1"/>
  <c r="R1622" i="1" s="1"/>
  <c r="R574" i="1" s="1"/>
  <c r="Q1623" i="1"/>
  <c r="P1623" i="1"/>
  <c r="P1622" i="1" s="1"/>
  <c r="P574" i="1" s="1"/>
  <c r="O1623" i="1"/>
  <c r="N1623" i="1"/>
  <c r="M1623" i="1"/>
  <c r="L1623" i="1"/>
  <c r="K1623" i="1"/>
  <c r="J1623" i="1"/>
  <c r="J1622" i="1" s="1"/>
  <c r="I1623" i="1"/>
  <c r="H1623" i="1"/>
  <c r="H1622" i="1" s="1"/>
  <c r="G1623" i="1"/>
  <c r="F1623" i="1"/>
  <c r="E1623" i="1"/>
  <c r="D1623" i="1"/>
  <c r="C1623" i="1"/>
  <c r="S1622" i="1"/>
  <c r="S574" i="1" s="1"/>
  <c r="T1621" i="1"/>
  <c r="S1621" i="1"/>
  <c r="Q1621" i="1"/>
  <c r="P1621" i="1"/>
  <c r="O1621" i="1"/>
  <c r="N1621" i="1"/>
  <c r="M1621" i="1"/>
  <c r="L1621" i="1"/>
  <c r="K1621" i="1"/>
  <c r="J1621" i="1"/>
  <c r="I1621" i="1"/>
  <c r="H1621" i="1"/>
  <c r="F1621" i="1"/>
  <c r="E1621" i="1"/>
  <c r="D1621" i="1"/>
  <c r="V1610" i="1"/>
  <c r="U1610" i="1"/>
  <c r="T1610" i="1"/>
  <c r="S1610" i="1"/>
  <c r="R1610" i="1"/>
  <c r="Q1610" i="1"/>
  <c r="P1610" i="1"/>
  <c r="O1610" i="1"/>
  <c r="N1610" i="1"/>
  <c r="M1610" i="1"/>
  <c r="L1610" i="1"/>
  <c r="K1610" i="1"/>
  <c r="J1610" i="1"/>
  <c r="I1610" i="1"/>
  <c r="H1610" i="1"/>
  <c r="G1610" i="1"/>
  <c r="F1610" i="1"/>
  <c r="E1610" i="1"/>
  <c r="D1610" i="1"/>
  <c r="C1610" i="1"/>
  <c r="V1557" i="1"/>
  <c r="U1557" i="1"/>
  <c r="T1557" i="1"/>
  <c r="S1557" i="1"/>
  <c r="R1557" i="1"/>
  <c r="Q1557" i="1"/>
  <c r="P1557" i="1"/>
  <c r="O1557" i="1"/>
  <c r="N1557" i="1"/>
  <c r="M1557" i="1"/>
  <c r="L1557" i="1"/>
  <c r="K1557" i="1"/>
  <c r="J1557" i="1"/>
  <c r="I1557" i="1"/>
  <c r="H1557" i="1"/>
  <c r="G1557" i="1"/>
  <c r="F1557" i="1"/>
  <c r="E1557" i="1"/>
  <c r="D1557" i="1"/>
  <c r="C1557" i="1"/>
  <c r="V1534" i="1"/>
  <c r="U1534" i="1"/>
  <c r="T1534" i="1"/>
  <c r="S1534" i="1"/>
  <c r="R1534" i="1"/>
  <c r="Q1534" i="1"/>
  <c r="P1534" i="1"/>
  <c r="O1534" i="1"/>
  <c r="N1534" i="1"/>
  <c r="M1534" i="1"/>
  <c r="L1534" i="1"/>
  <c r="K1534" i="1"/>
  <c r="J1534" i="1"/>
  <c r="I1534" i="1"/>
  <c r="H1534" i="1"/>
  <c r="G1534" i="1"/>
  <c r="F1534" i="1"/>
  <c r="E1534" i="1"/>
  <c r="D1534" i="1"/>
  <c r="C1534" i="1"/>
  <c r="V1521" i="1"/>
  <c r="U1521" i="1"/>
  <c r="T1521" i="1"/>
  <c r="S1521" i="1"/>
  <c r="R1521" i="1"/>
  <c r="Q1521" i="1"/>
  <c r="P1521" i="1"/>
  <c r="O1521" i="1"/>
  <c r="N1521" i="1"/>
  <c r="M1521" i="1"/>
  <c r="L1521" i="1"/>
  <c r="K1521" i="1"/>
  <c r="J1521" i="1"/>
  <c r="I1521" i="1"/>
  <c r="H1521" i="1"/>
  <c r="G1521" i="1"/>
  <c r="F1521" i="1"/>
  <c r="E1521" i="1"/>
  <c r="D1521" i="1"/>
  <c r="C1521" i="1"/>
  <c r="V1513" i="1"/>
  <c r="U1513" i="1"/>
  <c r="T1513" i="1"/>
  <c r="S1513" i="1"/>
  <c r="R1513" i="1"/>
  <c r="Q1513" i="1"/>
  <c r="P1513" i="1"/>
  <c r="O1513" i="1"/>
  <c r="N1513" i="1"/>
  <c r="M1513" i="1"/>
  <c r="L1513" i="1"/>
  <c r="K1513" i="1"/>
  <c r="J1513" i="1"/>
  <c r="I1513" i="1"/>
  <c r="H1513" i="1"/>
  <c r="G1513" i="1"/>
  <c r="F1513" i="1"/>
  <c r="E1513" i="1"/>
  <c r="D1513" i="1"/>
  <c r="C1513" i="1"/>
  <c r="V1501" i="1"/>
  <c r="U1501" i="1"/>
  <c r="T1501" i="1"/>
  <c r="S1501" i="1"/>
  <c r="R1501" i="1"/>
  <c r="Q1501" i="1"/>
  <c r="P1501" i="1"/>
  <c r="O1501" i="1"/>
  <c r="N1501" i="1"/>
  <c r="M1501" i="1"/>
  <c r="L1501" i="1"/>
  <c r="K1501" i="1"/>
  <c r="J1501" i="1"/>
  <c r="I1501" i="1"/>
  <c r="H1501" i="1"/>
  <c r="G1501" i="1"/>
  <c r="F1501" i="1"/>
  <c r="E1501" i="1"/>
  <c r="D1501" i="1"/>
  <c r="C1501" i="1"/>
  <c r="V1493" i="1"/>
  <c r="U1493" i="1"/>
  <c r="T1493" i="1"/>
  <c r="S1493" i="1"/>
  <c r="R1493" i="1"/>
  <c r="Q1493" i="1"/>
  <c r="P1493" i="1"/>
  <c r="O1493" i="1"/>
  <c r="N1493" i="1"/>
  <c r="M1493" i="1"/>
  <c r="L1493" i="1"/>
  <c r="K1493" i="1"/>
  <c r="J1493" i="1"/>
  <c r="I1493" i="1"/>
  <c r="H1493" i="1"/>
  <c r="G1493" i="1"/>
  <c r="F1493" i="1"/>
  <c r="E1493" i="1"/>
  <c r="D1493" i="1"/>
  <c r="C1493" i="1"/>
  <c r="V1474" i="1"/>
  <c r="U1474" i="1"/>
  <c r="T1474" i="1"/>
  <c r="S1474" i="1"/>
  <c r="R1474" i="1"/>
  <c r="Q1474" i="1"/>
  <c r="P1474" i="1"/>
  <c r="O1474" i="1"/>
  <c r="N1474" i="1"/>
  <c r="M1474" i="1"/>
  <c r="L1474" i="1"/>
  <c r="K1474" i="1"/>
  <c r="J1474" i="1"/>
  <c r="I1474" i="1"/>
  <c r="H1474" i="1"/>
  <c r="G1474" i="1"/>
  <c r="F1474" i="1"/>
  <c r="E1474" i="1"/>
  <c r="D1474" i="1"/>
  <c r="C1474" i="1"/>
  <c r="V1458" i="1"/>
  <c r="U1458" i="1"/>
  <c r="T1458" i="1"/>
  <c r="S1458" i="1"/>
  <c r="R1458" i="1"/>
  <c r="Q1458" i="1"/>
  <c r="P1458" i="1"/>
  <c r="O1458" i="1"/>
  <c r="N1458" i="1"/>
  <c r="M1458" i="1"/>
  <c r="L1458" i="1"/>
  <c r="K1458" i="1"/>
  <c r="J1458" i="1"/>
  <c r="I1458" i="1"/>
  <c r="H1458" i="1"/>
  <c r="G1458" i="1"/>
  <c r="F1458" i="1"/>
  <c r="E1458" i="1"/>
  <c r="D1458" i="1"/>
  <c r="C1458" i="1"/>
  <c r="V1452" i="1"/>
  <c r="U1452" i="1"/>
  <c r="T1452" i="1"/>
  <c r="S1452" i="1"/>
  <c r="R1452" i="1"/>
  <c r="Q1452" i="1"/>
  <c r="P1452" i="1"/>
  <c r="O1452" i="1"/>
  <c r="N1452" i="1"/>
  <c r="M1452" i="1"/>
  <c r="L1452" i="1"/>
  <c r="K1452" i="1"/>
  <c r="J1452" i="1"/>
  <c r="I1452" i="1"/>
  <c r="H1452" i="1"/>
  <c r="G1452" i="1"/>
  <c r="F1452" i="1"/>
  <c r="E1452" i="1"/>
  <c r="D1452" i="1"/>
  <c r="C1452" i="1"/>
  <c r="V1437" i="1"/>
  <c r="U1437" i="1"/>
  <c r="T1437" i="1"/>
  <c r="S1437" i="1"/>
  <c r="R1437" i="1"/>
  <c r="Q1437" i="1"/>
  <c r="P1437" i="1"/>
  <c r="O1437" i="1"/>
  <c r="N1437" i="1"/>
  <c r="M1437" i="1"/>
  <c r="L1437" i="1"/>
  <c r="K1437" i="1"/>
  <c r="J1437" i="1"/>
  <c r="I1437" i="1"/>
  <c r="H1437" i="1"/>
  <c r="G1437" i="1"/>
  <c r="F1437" i="1"/>
  <c r="E1437" i="1"/>
  <c r="D1437" i="1"/>
  <c r="C1437" i="1"/>
  <c r="V1429" i="1"/>
  <c r="U1429" i="1"/>
  <c r="T1429" i="1"/>
  <c r="S1429" i="1"/>
  <c r="R1429" i="1"/>
  <c r="Q1429" i="1"/>
  <c r="P1429" i="1"/>
  <c r="O1429" i="1"/>
  <c r="N1429" i="1"/>
  <c r="M1429" i="1"/>
  <c r="L1429" i="1"/>
  <c r="K1429" i="1"/>
  <c r="J1429" i="1"/>
  <c r="I1429" i="1"/>
  <c r="H1429" i="1"/>
  <c r="G1429" i="1"/>
  <c r="F1429" i="1"/>
  <c r="E1429" i="1"/>
  <c r="D1429" i="1"/>
  <c r="C1429" i="1"/>
  <c r="V1414" i="1"/>
  <c r="U1414" i="1"/>
  <c r="T1414" i="1"/>
  <c r="S1414" i="1"/>
  <c r="R1414" i="1"/>
  <c r="Q1414" i="1"/>
  <c r="P1414" i="1"/>
  <c r="O1414" i="1"/>
  <c r="N1414" i="1"/>
  <c r="M1414" i="1"/>
  <c r="L1414" i="1"/>
  <c r="K1414" i="1"/>
  <c r="J1414" i="1"/>
  <c r="I1414" i="1"/>
  <c r="H1414" i="1"/>
  <c r="G1414" i="1"/>
  <c r="F1414" i="1"/>
  <c r="E1414" i="1"/>
  <c r="D1414" i="1"/>
  <c r="C1414" i="1"/>
  <c r="V1386" i="1"/>
  <c r="U1386" i="1"/>
  <c r="T1386" i="1"/>
  <c r="S1386" i="1"/>
  <c r="R1386" i="1"/>
  <c r="Q1386" i="1"/>
  <c r="P1386" i="1"/>
  <c r="O1386" i="1"/>
  <c r="N1386" i="1"/>
  <c r="M1386" i="1"/>
  <c r="L1386" i="1"/>
  <c r="K1386" i="1"/>
  <c r="J1386" i="1"/>
  <c r="I1386" i="1"/>
  <c r="H1386" i="1"/>
  <c r="G1386" i="1"/>
  <c r="F1386" i="1"/>
  <c r="E1386" i="1"/>
  <c r="D1386" i="1"/>
  <c r="C1386" i="1"/>
  <c r="V1368" i="1"/>
  <c r="U1368" i="1"/>
  <c r="T1368" i="1"/>
  <c r="S1368" i="1"/>
  <c r="R1368" i="1"/>
  <c r="Q1368" i="1"/>
  <c r="P1368" i="1"/>
  <c r="O1368" i="1"/>
  <c r="N1368" i="1"/>
  <c r="M1368" i="1"/>
  <c r="L1368" i="1"/>
  <c r="K1368" i="1"/>
  <c r="J1368" i="1"/>
  <c r="I1368" i="1"/>
  <c r="H1368" i="1"/>
  <c r="G1368" i="1"/>
  <c r="F1368" i="1"/>
  <c r="E1368" i="1"/>
  <c r="D1368" i="1"/>
  <c r="C1368" i="1"/>
  <c r="V1354" i="1"/>
  <c r="U1354" i="1"/>
  <c r="T1354" i="1"/>
  <c r="S1354" i="1"/>
  <c r="R1354" i="1"/>
  <c r="Q1354" i="1"/>
  <c r="P1354" i="1"/>
  <c r="O1354" i="1"/>
  <c r="N1354" i="1"/>
  <c r="M1354" i="1"/>
  <c r="L1354" i="1"/>
  <c r="K1354" i="1"/>
  <c r="J1354" i="1"/>
  <c r="I1354" i="1"/>
  <c r="H1354" i="1"/>
  <c r="G1354" i="1"/>
  <c r="F1354" i="1"/>
  <c r="E1354" i="1"/>
  <c r="D1354" i="1"/>
  <c r="C1354" i="1"/>
  <c r="V1343" i="1"/>
  <c r="U1343" i="1"/>
  <c r="T1343" i="1"/>
  <c r="S1343" i="1"/>
  <c r="R1343" i="1"/>
  <c r="Q1343" i="1"/>
  <c r="P1343" i="1"/>
  <c r="O1343" i="1"/>
  <c r="N1343" i="1"/>
  <c r="M1343" i="1"/>
  <c r="L1343" i="1"/>
  <c r="K1343" i="1"/>
  <c r="J1343" i="1"/>
  <c r="I1343" i="1"/>
  <c r="H1343" i="1"/>
  <c r="G1343" i="1"/>
  <c r="F1343" i="1"/>
  <c r="E1343" i="1"/>
  <c r="D1343" i="1"/>
  <c r="C1343" i="1"/>
  <c r="V1339" i="1"/>
  <c r="U1339" i="1"/>
  <c r="T1339" i="1"/>
  <c r="S1339" i="1"/>
  <c r="R1339" i="1"/>
  <c r="Q1339" i="1"/>
  <c r="P1339" i="1"/>
  <c r="O1339" i="1"/>
  <c r="N1339" i="1"/>
  <c r="M1339" i="1"/>
  <c r="L1339" i="1"/>
  <c r="K1339" i="1"/>
  <c r="J1339" i="1"/>
  <c r="I1339" i="1"/>
  <c r="H1339" i="1"/>
  <c r="G1339" i="1"/>
  <c r="F1339" i="1"/>
  <c r="E1339" i="1"/>
  <c r="D1339" i="1"/>
  <c r="C1339" i="1"/>
  <c r="T1327" i="1"/>
  <c r="T1315" i="1" s="1"/>
  <c r="V1315" i="1"/>
  <c r="U1315" i="1"/>
  <c r="S1315" i="1"/>
  <c r="R1315" i="1"/>
  <c r="Q1315" i="1"/>
  <c r="P1315" i="1"/>
  <c r="O1315" i="1"/>
  <c r="N1315" i="1"/>
  <c r="M1315" i="1"/>
  <c r="L1315" i="1"/>
  <c r="K1315" i="1"/>
  <c r="J1315" i="1"/>
  <c r="I1315" i="1"/>
  <c r="H1315" i="1"/>
  <c r="G1315" i="1"/>
  <c r="F1315" i="1"/>
  <c r="E1315" i="1"/>
  <c r="D1315" i="1"/>
  <c r="C1315" i="1"/>
  <c r="V1302" i="1"/>
  <c r="U1302" i="1"/>
  <c r="T1302" i="1"/>
  <c r="S1302" i="1"/>
  <c r="R1302" i="1"/>
  <c r="Q1302" i="1"/>
  <c r="P1302" i="1"/>
  <c r="O1302" i="1"/>
  <c r="N1302" i="1"/>
  <c r="M1302" i="1"/>
  <c r="L1302" i="1"/>
  <c r="K1302" i="1"/>
  <c r="J1302" i="1"/>
  <c r="I1302" i="1"/>
  <c r="H1302" i="1"/>
  <c r="G1302" i="1"/>
  <c r="F1302" i="1"/>
  <c r="E1302" i="1"/>
  <c r="D1302" i="1"/>
  <c r="C1302" i="1"/>
  <c r="V1260" i="1"/>
  <c r="U1260" i="1"/>
  <c r="T1260" i="1"/>
  <c r="S1260" i="1"/>
  <c r="R1260" i="1"/>
  <c r="Q1260" i="1"/>
  <c r="P1260" i="1"/>
  <c r="O1260" i="1"/>
  <c r="N1260" i="1"/>
  <c r="M1260" i="1"/>
  <c r="L1260" i="1"/>
  <c r="K1260" i="1"/>
  <c r="J1260" i="1"/>
  <c r="I1260" i="1"/>
  <c r="H1260" i="1"/>
  <c r="G1260" i="1"/>
  <c r="F1260" i="1"/>
  <c r="E1260" i="1"/>
  <c r="D1260" i="1"/>
  <c r="C1260" i="1"/>
  <c r="V1245" i="1"/>
  <c r="U1245" i="1"/>
  <c r="T1245" i="1"/>
  <c r="S1245" i="1"/>
  <c r="R1245" i="1"/>
  <c r="Q1245" i="1"/>
  <c r="P1245" i="1"/>
  <c r="O1245" i="1"/>
  <c r="N1245" i="1"/>
  <c r="M1245" i="1"/>
  <c r="L1245" i="1"/>
  <c r="K1245" i="1"/>
  <c r="J1245" i="1"/>
  <c r="I1245" i="1"/>
  <c r="H1245" i="1"/>
  <c r="G1245" i="1"/>
  <c r="F1245" i="1"/>
  <c r="E1245" i="1"/>
  <c r="D1245" i="1"/>
  <c r="C1245" i="1"/>
  <c r="V1240" i="1"/>
  <c r="U1240" i="1"/>
  <c r="T1240" i="1"/>
  <c r="S1240" i="1"/>
  <c r="R1240" i="1"/>
  <c r="Q1240" i="1"/>
  <c r="P1240" i="1"/>
  <c r="O1240" i="1"/>
  <c r="N1240" i="1"/>
  <c r="M1240" i="1"/>
  <c r="L1240" i="1"/>
  <c r="K1240" i="1"/>
  <c r="J1240" i="1"/>
  <c r="I1240" i="1"/>
  <c r="H1240" i="1"/>
  <c r="G1240" i="1"/>
  <c r="F1240" i="1"/>
  <c r="E1240" i="1"/>
  <c r="D1240" i="1"/>
  <c r="C1240" i="1"/>
  <c r="V1232" i="1"/>
  <c r="U1232" i="1"/>
  <c r="T1232" i="1"/>
  <c r="S1232" i="1"/>
  <c r="R1232" i="1"/>
  <c r="Q1232" i="1"/>
  <c r="P1232" i="1"/>
  <c r="O1232" i="1"/>
  <c r="N1232" i="1"/>
  <c r="M1232" i="1"/>
  <c r="L1232" i="1"/>
  <c r="K1232" i="1"/>
  <c r="J1232" i="1"/>
  <c r="I1232" i="1"/>
  <c r="H1232" i="1"/>
  <c r="G1232" i="1"/>
  <c r="F1232" i="1"/>
  <c r="E1232" i="1"/>
  <c r="D1232" i="1"/>
  <c r="C1232" i="1"/>
  <c r="V1212" i="1"/>
  <c r="U1212" i="1"/>
  <c r="T1212" i="1"/>
  <c r="S1212" i="1"/>
  <c r="R1212" i="1"/>
  <c r="Q1212" i="1"/>
  <c r="P1212" i="1"/>
  <c r="O1212" i="1"/>
  <c r="N1212" i="1"/>
  <c r="M1212" i="1"/>
  <c r="L1212" i="1"/>
  <c r="K1212" i="1"/>
  <c r="J1212" i="1"/>
  <c r="I1212" i="1"/>
  <c r="H1212" i="1"/>
  <c r="G1212" i="1"/>
  <c r="F1212" i="1"/>
  <c r="E1212" i="1"/>
  <c r="D1212" i="1"/>
  <c r="C1212" i="1"/>
  <c r="V1179" i="1"/>
  <c r="U1179" i="1"/>
  <c r="T1179" i="1"/>
  <c r="S1179" i="1"/>
  <c r="R1179" i="1"/>
  <c r="Q1179" i="1"/>
  <c r="P1179" i="1"/>
  <c r="O1179" i="1"/>
  <c r="N1179" i="1"/>
  <c r="M1179" i="1"/>
  <c r="L1179" i="1"/>
  <c r="K1179" i="1"/>
  <c r="J1179" i="1"/>
  <c r="I1179" i="1"/>
  <c r="H1179" i="1"/>
  <c r="G1179" i="1"/>
  <c r="F1179" i="1"/>
  <c r="E1179" i="1"/>
  <c r="D1179" i="1"/>
  <c r="C1179" i="1"/>
  <c r="V1170" i="1"/>
  <c r="U1170" i="1"/>
  <c r="T1170" i="1"/>
  <c r="S1170" i="1"/>
  <c r="R1170" i="1"/>
  <c r="Q1170" i="1"/>
  <c r="P1170" i="1"/>
  <c r="O1170" i="1"/>
  <c r="N1170" i="1"/>
  <c r="M1170" i="1"/>
  <c r="L1170" i="1"/>
  <c r="K1170" i="1"/>
  <c r="J1170" i="1"/>
  <c r="I1170" i="1"/>
  <c r="H1170" i="1"/>
  <c r="H1140" i="1" s="1"/>
  <c r="H573" i="1" s="1"/>
  <c r="G1170" i="1"/>
  <c r="F1170" i="1"/>
  <c r="E1170" i="1"/>
  <c r="D1170" i="1"/>
  <c r="C1170" i="1"/>
  <c r="V1141" i="1"/>
  <c r="U1141" i="1"/>
  <c r="U1140" i="1" s="1"/>
  <c r="T1141" i="1"/>
  <c r="S1141" i="1"/>
  <c r="R1141" i="1"/>
  <c r="R1140" i="1" s="1"/>
  <c r="Q1141" i="1"/>
  <c r="P1141" i="1"/>
  <c r="O1141" i="1"/>
  <c r="N1141" i="1"/>
  <c r="M1141" i="1"/>
  <c r="M1140" i="1" s="1"/>
  <c r="L1141" i="1"/>
  <c r="K1141" i="1"/>
  <c r="J1141" i="1"/>
  <c r="I1141" i="1"/>
  <c r="H1141" i="1"/>
  <c r="G1141" i="1"/>
  <c r="F1141" i="1"/>
  <c r="E1141" i="1"/>
  <c r="E1140" i="1" s="1"/>
  <c r="D1141" i="1"/>
  <c r="D1140" i="1" s="1"/>
  <c r="C1141" i="1"/>
  <c r="S1140" i="1"/>
  <c r="S573" i="1" s="1"/>
  <c r="Q1140" i="1"/>
  <c r="O1140" i="1"/>
  <c r="O573" i="1" s="1"/>
  <c r="I1140" i="1"/>
  <c r="I574" i="1" s="1"/>
  <c r="G1140" i="1"/>
  <c r="G574" i="1" s="1"/>
  <c r="C1140" i="1"/>
  <c r="C573" i="1" s="1"/>
  <c r="V1136" i="1"/>
  <c r="U1136" i="1"/>
  <c r="T1136" i="1"/>
  <c r="S1136" i="1"/>
  <c r="R1136" i="1"/>
  <c r="Q1136" i="1"/>
  <c r="P1136" i="1"/>
  <c r="O1136" i="1"/>
  <c r="N1136" i="1"/>
  <c r="M1136" i="1"/>
  <c r="L1136" i="1"/>
  <c r="K1136" i="1"/>
  <c r="J1136" i="1"/>
  <c r="I1136" i="1"/>
  <c r="H1136" i="1"/>
  <c r="G1136" i="1"/>
  <c r="F1136" i="1"/>
  <c r="E1136" i="1"/>
  <c r="D1136" i="1"/>
  <c r="C1136" i="1"/>
  <c r="V1127" i="1"/>
  <c r="U1127" i="1"/>
  <c r="T1127" i="1"/>
  <c r="S1127" i="1"/>
  <c r="R1127" i="1"/>
  <c r="Q1127" i="1"/>
  <c r="P1127" i="1"/>
  <c r="O1127" i="1"/>
  <c r="N1127" i="1"/>
  <c r="M1127" i="1"/>
  <c r="L1127" i="1"/>
  <c r="K1127" i="1"/>
  <c r="J1127" i="1"/>
  <c r="I1127" i="1"/>
  <c r="H1127" i="1"/>
  <c r="G1127" i="1"/>
  <c r="F1127" i="1"/>
  <c r="E1127" i="1"/>
  <c r="D1127" i="1"/>
  <c r="C1127" i="1"/>
  <c r="V1123" i="1"/>
  <c r="U1123" i="1"/>
  <c r="T1123" i="1"/>
  <c r="S1123" i="1"/>
  <c r="R1123" i="1"/>
  <c r="Q1123" i="1"/>
  <c r="P1123" i="1"/>
  <c r="O1123" i="1"/>
  <c r="N1123" i="1"/>
  <c r="M1123" i="1"/>
  <c r="L1123" i="1"/>
  <c r="K1123" i="1"/>
  <c r="J1123" i="1"/>
  <c r="I1123" i="1"/>
  <c r="H1123" i="1"/>
  <c r="G1123" i="1"/>
  <c r="F1123" i="1"/>
  <c r="E1123" i="1"/>
  <c r="D1123" i="1"/>
  <c r="C1123" i="1"/>
  <c r="V1114" i="1"/>
  <c r="U1114" i="1"/>
  <c r="T1114" i="1"/>
  <c r="S1114" i="1"/>
  <c r="R1114" i="1"/>
  <c r="Q1114" i="1"/>
  <c r="P1114" i="1"/>
  <c r="O1114" i="1"/>
  <c r="N1114" i="1"/>
  <c r="M1114" i="1"/>
  <c r="L1114" i="1"/>
  <c r="K1114" i="1"/>
  <c r="J1114" i="1"/>
  <c r="I1114" i="1"/>
  <c r="H1114" i="1"/>
  <c r="G1114" i="1"/>
  <c r="F1114" i="1"/>
  <c r="E1114" i="1"/>
  <c r="D1114" i="1"/>
  <c r="C1114" i="1"/>
  <c r="V1106" i="1"/>
  <c r="U1106" i="1"/>
  <c r="T1106" i="1"/>
  <c r="S1106" i="1"/>
  <c r="R1106" i="1"/>
  <c r="Q1106" i="1"/>
  <c r="P1106" i="1"/>
  <c r="O1106" i="1"/>
  <c r="N1106" i="1"/>
  <c r="M1106" i="1"/>
  <c r="L1106" i="1"/>
  <c r="K1106" i="1"/>
  <c r="J1106" i="1"/>
  <c r="I1106" i="1"/>
  <c r="H1106" i="1"/>
  <c r="G1106" i="1"/>
  <c r="F1106" i="1"/>
  <c r="E1106" i="1"/>
  <c r="D1106" i="1"/>
  <c r="C1106" i="1"/>
  <c r="V1094" i="1"/>
  <c r="U1094" i="1"/>
  <c r="T1094" i="1"/>
  <c r="S1094" i="1"/>
  <c r="R1094" i="1"/>
  <c r="Q1094" i="1"/>
  <c r="P1094" i="1"/>
  <c r="O1094" i="1"/>
  <c r="N1094" i="1"/>
  <c r="M1094" i="1"/>
  <c r="L1094" i="1"/>
  <c r="K1094" i="1"/>
  <c r="J1094" i="1"/>
  <c r="I1094" i="1"/>
  <c r="H1094" i="1"/>
  <c r="G1094" i="1"/>
  <c r="F1094" i="1"/>
  <c r="E1094" i="1"/>
  <c r="D1094" i="1"/>
  <c r="C1094" i="1"/>
  <c r="V1092" i="1"/>
  <c r="U1092" i="1"/>
  <c r="T1092" i="1"/>
  <c r="S1092" i="1"/>
  <c r="R1092" i="1"/>
  <c r="Q1092" i="1"/>
  <c r="P1092" i="1"/>
  <c r="O1092" i="1"/>
  <c r="N1092" i="1"/>
  <c r="M1092" i="1"/>
  <c r="L1092" i="1"/>
  <c r="K1092" i="1"/>
  <c r="J1092" i="1"/>
  <c r="I1092" i="1"/>
  <c r="H1092" i="1"/>
  <c r="G1092" i="1"/>
  <c r="F1092" i="1"/>
  <c r="E1092" i="1"/>
  <c r="D1092" i="1"/>
  <c r="C1092" i="1"/>
  <c r="R1090" i="1"/>
  <c r="Q1090" i="1"/>
  <c r="P1090" i="1"/>
  <c r="O1090" i="1"/>
  <c r="N1090" i="1"/>
  <c r="M1090" i="1"/>
  <c r="L1090" i="1"/>
  <c r="K1090" i="1"/>
  <c r="J1090" i="1"/>
  <c r="I1090" i="1"/>
  <c r="H1090" i="1"/>
  <c r="G1090" i="1"/>
  <c r="F1090" i="1"/>
  <c r="E1090" i="1"/>
  <c r="D1090" i="1"/>
  <c r="C1090" i="1"/>
  <c r="R1088" i="1"/>
  <c r="Q1088" i="1"/>
  <c r="P1088" i="1"/>
  <c r="O1088" i="1"/>
  <c r="N1088" i="1"/>
  <c r="M1088" i="1"/>
  <c r="L1088" i="1"/>
  <c r="K1088" i="1"/>
  <c r="J1088" i="1"/>
  <c r="I1088" i="1"/>
  <c r="H1088" i="1"/>
  <c r="G1088" i="1"/>
  <c r="F1088" i="1"/>
  <c r="F1080" i="1" s="1"/>
  <c r="E1088" i="1"/>
  <c r="D1088" i="1"/>
  <c r="C1088" i="1"/>
  <c r="T1087" i="1"/>
  <c r="R1087" i="1"/>
  <c r="R1080" i="1" s="1"/>
  <c r="Q1087" i="1"/>
  <c r="Q1080" i="1" s="1"/>
  <c r="P1087" i="1"/>
  <c r="O1087" i="1"/>
  <c r="O1080" i="1" s="1"/>
  <c r="N1087" i="1"/>
  <c r="M1087" i="1"/>
  <c r="M1080" i="1" s="1"/>
  <c r="L1087" i="1"/>
  <c r="K1087" i="1"/>
  <c r="J1087" i="1"/>
  <c r="J1080" i="1" s="1"/>
  <c r="I1087" i="1"/>
  <c r="I1080" i="1" s="1"/>
  <c r="H1087" i="1"/>
  <c r="G1087" i="1"/>
  <c r="F1087" i="1"/>
  <c r="E1087" i="1"/>
  <c r="E1080" i="1" s="1"/>
  <c r="D1087" i="1"/>
  <c r="C1087" i="1"/>
  <c r="V1080" i="1"/>
  <c r="U1080" i="1"/>
  <c r="N1080" i="1"/>
  <c r="L1080" i="1"/>
  <c r="D1080" i="1"/>
  <c r="V1073" i="1"/>
  <c r="U1061" i="1"/>
  <c r="T1061" i="1"/>
  <c r="S1061" i="1"/>
  <c r="R1061" i="1"/>
  <c r="P1061" i="1"/>
  <c r="O1061" i="1"/>
  <c r="V1059" i="1"/>
  <c r="Q1059" i="1"/>
  <c r="V1057" i="1"/>
  <c r="Q1057" i="1"/>
  <c r="S1055" i="1"/>
  <c r="R1055" i="1"/>
  <c r="S1046" i="1"/>
  <c r="R1046" i="1"/>
  <c r="V1043" i="1"/>
  <c r="U1043" i="1"/>
  <c r="T1043" i="1"/>
  <c r="S1043" i="1"/>
  <c r="R1043" i="1"/>
  <c r="T1042" i="1"/>
  <c r="S1042" i="1"/>
  <c r="R1042" i="1"/>
  <c r="V1024" i="1"/>
  <c r="T1024" i="1"/>
  <c r="S1024" i="1"/>
  <c r="R1024" i="1"/>
  <c r="R1022" i="1"/>
  <c r="T1017" i="1"/>
  <c r="S1017" i="1"/>
  <c r="R1017" i="1"/>
  <c r="V996" i="1"/>
  <c r="S994" i="1"/>
  <c r="R994" i="1"/>
  <c r="T960" i="1"/>
  <c r="S960" i="1"/>
  <c r="R960" i="1"/>
  <c r="S956" i="1"/>
  <c r="V950" i="1"/>
  <c r="U950" i="1"/>
  <c r="T950" i="1"/>
  <c r="S950" i="1"/>
  <c r="R950" i="1"/>
  <c r="S930" i="1"/>
  <c r="R930" i="1"/>
  <c r="V904" i="1"/>
  <c r="S904" i="1"/>
  <c r="R904" i="1"/>
  <c r="R885" i="1"/>
  <c r="V877" i="1"/>
  <c r="U877" i="1"/>
  <c r="T877" i="1"/>
  <c r="S877" i="1"/>
  <c r="R877" i="1"/>
  <c r="U875" i="1"/>
  <c r="T875" i="1"/>
  <c r="U868" i="1"/>
  <c r="U864" i="1"/>
  <c r="U863" i="1"/>
  <c r="T856" i="1"/>
  <c r="S856" i="1"/>
  <c r="T848" i="1"/>
  <c r="S848" i="1"/>
  <c r="U847" i="1"/>
  <c r="V839" i="1"/>
  <c r="T839" i="1"/>
  <c r="S839" i="1"/>
  <c r="R806" i="1"/>
  <c r="V805" i="1"/>
  <c r="U805" i="1"/>
  <c r="T805" i="1"/>
  <c r="S805" i="1"/>
  <c r="R805" i="1"/>
  <c r="Q805" i="1"/>
  <c r="P805" i="1"/>
  <c r="O805" i="1"/>
  <c r="N805" i="1"/>
  <c r="M805" i="1"/>
  <c r="L805" i="1"/>
  <c r="K805" i="1"/>
  <c r="J805" i="1"/>
  <c r="I805" i="1"/>
  <c r="H805" i="1"/>
  <c r="G805" i="1"/>
  <c r="F805" i="1"/>
  <c r="E805" i="1"/>
  <c r="D805" i="1"/>
  <c r="C805" i="1"/>
  <c r="S804" i="1"/>
  <c r="V802" i="1"/>
  <c r="Q797" i="1"/>
  <c r="P797" i="1"/>
  <c r="O797" i="1"/>
  <c r="N797" i="1"/>
  <c r="M797" i="1"/>
  <c r="L797" i="1"/>
  <c r="K797" i="1"/>
  <c r="J797" i="1"/>
  <c r="I797" i="1"/>
  <c r="H797" i="1"/>
  <c r="G797" i="1"/>
  <c r="F797" i="1"/>
  <c r="E797" i="1"/>
  <c r="D797" i="1"/>
  <c r="C797" i="1"/>
  <c r="V767" i="1"/>
  <c r="T767" i="1"/>
  <c r="S767" i="1"/>
  <c r="R767" i="1"/>
  <c r="Q767" i="1"/>
  <c r="P767" i="1"/>
  <c r="O767" i="1"/>
  <c r="N767" i="1"/>
  <c r="R764" i="1"/>
  <c r="V747" i="1"/>
  <c r="U747" i="1"/>
  <c r="T747" i="1"/>
  <c r="S747" i="1"/>
  <c r="R747" i="1"/>
  <c r="R730" i="1" s="1"/>
  <c r="R594" i="1" s="1"/>
  <c r="R592" i="1" s="1"/>
  <c r="Q747" i="1"/>
  <c r="Q730" i="1" s="1"/>
  <c r="P747" i="1"/>
  <c r="O747" i="1"/>
  <c r="N747" i="1"/>
  <c r="M747" i="1"/>
  <c r="L747" i="1"/>
  <c r="K747" i="1"/>
  <c r="J747" i="1"/>
  <c r="I747" i="1"/>
  <c r="H747" i="1"/>
  <c r="G747" i="1"/>
  <c r="G730" i="1" s="1"/>
  <c r="G594" i="1" s="1"/>
  <c r="F747" i="1"/>
  <c r="E747" i="1"/>
  <c r="D747" i="1"/>
  <c r="C747" i="1"/>
  <c r="V731" i="1"/>
  <c r="V730" i="1" s="1"/>
  <c r="V594" i="1" s="1"/>
  <c r="U731" i="1"/>
  <c r="U730" i="1" s="1"/>
  <c r="U594" i="1" s="1"/>
  <c r="U592" i="1" s="1"/>
  <c r="T731" i="1"/>
  <c r="T730" i="1" s="1"/>
  <c r="T594" i="1" s="1"/>
  <c r="S731" i="1"/>
  <c r="S730" i="1" s="1"/>
  <c r="S594" i="1" s="1"/>
  <c r="R731" i="1"/>
  <c r="Q731" i="1"/>
  <c r="P731" i="1"/>
  <c r="O731" i="1"/>
  <c r="N731" i="1"/>
  <c r="N730" i="1" s="1"/>
  <c r="N594" i="1" s="1"/>
  <c r="M731" i="1"/>
  <c r="M730" i="1" s="1"/>
  <c r="L731" i="1"/>
  <c r="L730" i="1" s="1"/>
  <c r="L594" i="1" s="1"/>
  <c r="K731" i="1"/>
  <c r="K730" i="1" s="1"/>
  <c r="K594" i="1" s="1"/>
  <c r="J731" i="1"/>
  <c r="I731" i="1"/>
  <c r="H731" i="1"/>
  <c r="G731" i="1"/>
  <c r="F731" i="1"/>
  <c r="E731" i="1"/>
  <c r="D731" i="1"/>
  <c r="C731" i="1"/>
  <c r="I730" i="1"/>
  <c r="I594" i="1" s="1"/>
  <c r="I592" i="1" s="1"/>
  <c r="Q711" i="1"/>
  <c r="V703" i="1"/>
  <c r="U703" i="1"/>
  <c r="T703" i="1"/>
  <c r="S703" i="1"/>
  <c r="R703" i="1"/>
  <c r="Q703" i="1"/>
  <c r="P703" i="1"/>
  <c r="O703" i="1"/>
  <c r="N703" i="1"/>
  <c r="M703" i="1"/>
  <c r="L703" i="1"/>
  <c r="K703" i="1"/>
  <c r="J703" i="1"/>
  <c r="I703" i="1"/>
  <c r="H703" i="1"/>
  <c r="G703" i="1"/>
  <c r="S702" i="1"/>
  <c r="R702" i="1"/>
  <c r="O702" i="1"/>
  <c r="N702" i="1"/>
  <c r="U685" i="1"/>
  <c r="U679" i="1" s="1"/>
  <c r="T685" i="1"/>
  <c r="R685" i="1"/>
  <c r="V680" i="1"/>
  <c r="U680" i="1"/>
  <c r="T680" i="1"/>
  <c r="V679" i="1"/>
  <c r="T679" i="1"/>
  <c r="S679" i="1"/>
  <c r="R679" i="1"/>
  <c r="Q679" i="1"/>
  <c r="P679" i="1"/>
  <c r="P665" i="1" s="1"/>
  <c r="O679" i="1"/>
  <c r="N679" i="1"/>
  <c r="M679" i="1"/>
  <c r="L679" i="1"/>
  <c r="K679" i="1"/>
  <c r="J679" i="1"/>
  <c r="J665" i="1" s="1"/>
  <c r="I679" i="1"/>
  <c r="H679" i="1"/>
  <c r="H665" i="1" s="1"/>
  <c r="G679" i="1"/>
  <c r="F679" i="1"/>
  <c r="E679" i="1"/>
  <c r="D679" i="1"/>
  <c r="C679" i="1"/>
  <c r="S678" i="1"/>
  <c r="V677" i="1"/>
  <c r="V676" i="1"/>
  <c r="U676" i="1"/>
  <c r="U668" i="1" s="1"/>
  <c r="T676" i="1"/>
  <c r="T1088" i="1" s="1"/>
  <c r="T1080" i="1" s="1"/>
  <c r="S676" i="1"/>
  <c r="V675" i="1"/>
  <c r="V668" i="1" s="1"/>
  <c r="V665" i="1" s="1"/>
  <c r="S675" i="1"/>
  <c r="S1087" i="1" s="1"/>
  <c r="S1080" i="1" s="1"/>
  <c r="V674" i="1"/>
  <c r="T674" i="1"/>
  <c r="S674" i="1"/>
  <c r="V672" i="1"/>
  <c r="T672" i="1"/>
  <c r="S672" i="1"/>
  <c r="R672" i="1"/>
  <c r="R668" i="1" s="1"/>
  <c r="V671" i="1"/>
  <c r="V670" i="1"/>
  <c r="S670" i="1"/>
  <c r="V669" i="1"/>
  <c r="S669" i="1"/>
  <c r="S668" i="1" s="1"/>
  <c r="T668" i="1"/>
  <c r="Q668" i="1"/>
  <c r="P668" i="1"/>
  <c r="O668" i="1"/>
  <c r="N668" i="1"/>
  <c r="N665" i="1" s="1"/>
  <c r="M668" i="1"/>
  <c r="L668" i="1"/>
  <c r="L665" i="1" s="1"/>
  <c r="K668" i="1"/>
  <c r="J668" i="1"/>
  <c r="I668" i="1"/>
  <c r="H668" i="1"/>
  <c r="G668" i="1"/>
  <c r="F668" i="1"/>
  <c r="F665" i="1" s="1"/>
  <c r="E668" i="1"/>
  <c r="D668" i="1"/>
  <c r="C668" i="1"/>
  <c r="V667" i="1"/>
  <c r="U667" i="1"/>
  <c r="T667" i="1"/>
  <c r="S667" i="1"/>
  <c r="R667" i="1"/>
  <c r="Q667" i="1"/>
  <c r="P667" i="1"/>
  <c r="O667" i="1"/>
  <c r="N667" i="1"/>
  <c r="M667" i="1"/>
  <c r="L667" i="1"/>
  <c r="K667" i="1"/>
  <c r="J667" i="1"/>
  <c r="I667" i="1"/>
  <c r="H667" i="1"/>
  <c r="G667" i="1"/>
  <c r="F667" i="1"/>
  <c r="E667" i="1"/>
  <c r="D667" i="1"/>
  <c r="C667" i="1"/>
  <c r="V666" i="1"/>
  <c r="U666" i="1"/>
  <c r="T666" i="1"/>
  <c r="S666" i="1"/>
  <c r="R666" i="1"/>
  <c r="Q666" i="1"/>
  <c r="P666" i="1"/>
  <c r="O666" i="1"/>
  <c r="N666" i="1"/>
  <c r="M666" i="1"/>
  <c r="L666" i="1"/>
  <c r="K666" i="1"/>
  <c r="J666" i="1"/>
  <c r="I666" i="1"/>
  <c r="H666" i="1"/>
  <c r="G666" i="1"/>
  <c r="F666" i="1"/>
  <c r="E666" i="1"/>
  <c r="D666" i="1"/>
  <c r="C666" i="1"/>
  <c r="T665" i="1"/>
  <c r="Q665" i="1"/>
  <c r="O665" i="1"/>
  <c r="M665" i="1"/>
  <c r="K665" i="1"/>
  <c r="I665" i="1"/>
  <c r="G665" i="1"/>
  <c r="E665" i="1"/>
  <c r="D665" i="1"/>
  <c r="C665" i="1"/>
  <c r="V656" i="1"/>
  <c r="V655" i="1" s="1"/>
  <c r="U656" i="1"/>
  <c r="U655" i="1" s="1"/>
  <c r="T656" i="1"/>
  <c r="S656" i="1"/>
  <c r="R656" i="1"/>
  <c r="Q656" i="1"/>
  <c r="Q655" i="1" s="1"/>
  <c r="P656" i="1"/>
  <c r="P655" i="1" s="1"/>
  <c r="O656" i="1"/>
  <c r="N656" i="1"/>
  <c r="N655" i="1" s="1"/>
  <c r="N642" i="1" s="1"/>
  <c r="M656" i="1"/>
  <c r="M655" i="1" s="1"/>
  <c r="L656" i="1"/>
  <c r="K656" i="1"/>
  <c r="J656" i="1"/>
  <c r="J655" i="1" s="1"/>
  <c r="I656" i="1"/>
  <c r="I655" i="1" s="1"/>
  <c r="H656" i="1"/>
  <c r="H655" i="1" s="1"/>
  <c r="G656" i="1"/>
  <c r="F656" i="1"/>
  <c r="F655" i="1" s="1"/>
  <c r="F642" i="1" s="1"/>
  <c r="E656" i="1"/>
  <c r="E655" i="1" s="1"/>
  <c r="D656" i="1"/>
  <c r="C656" i="1"/>
  <c r="T655" i="1"/>
  <c r="S655" i="1"/>
  <c r="R655" i="1"/>
  <c r="O655" i="1"/>
  <c r="L655" i="1"/>
  <c r="K655" i="1"/>
  <c r="G655" i="1"/>
  <c r="G642" i="1" s="1"/>
  <c r="D655" i="1"/>
  <c r="D642" i="1" s="1"/>
  <c r="C655" i="1"/>
  <c r="V651" i="1"/>
  <c r="V650" i="1"/>
  <c r="V645" i="1"/>
  <c r="V643" i="1" s="1"/>
  <c r="U643" i="1"/>
  <c r="T643" i="1"/>
  <c r="S643" i="1"/>
  <c r="S642" i="1" s="1"/>
  <c r="R643" i="1"/>
  <c r="Q643" i="1"/>
  <c r="P643" i="1"/>
  <c r="O643" i="1"/>
  <c r="N643" i="1"/>
  <c r="M643" i="1"/>
  <c r="L643" i="1"/>
  <c r="K643" i="1"/>
  <c r="K642" i="1" s="1"/>
  <c r="J643" i="1"/>
  <c r="I643" i="1"/>
  <c r="H643" i="1"/>
  <c r="G643" i="1"/>
  <c r="F643" i="1"/>
  <c r="E643" i="1"/>
  <c r="D643" i="1"/>
  <c r="C643" i="1"/>
  <c r="C642" i="1" s="1"/>
  <c r="O642" i="1"/>
  <c r="V638" i="1"/>
  <c r="V634" i="1" s="1"/>
  <c r="V601" i="1" s="1"/>
  <c r="U638" i="1"/>
  <c r="U634" i="1"/>
  <c r="T634" i="1"/>
  <c r="S634" i="1"/>
  <c r="R634" i="1"/>
  <c r="Q634" i="1"/>
  <c r="P634" i="1"/>
  <c r="O634" i="1"/>
  <c r="N634" i="1"/>
  <c r="M634" i="1"/>
  <c r="L634" i="1"/>
  <c r="K634" i="1"/>
  <c r="J634" i="1"/>
  <c r="I634" i="1"/>
  <c r="H634" i="1"/>
  <c r="G634" i="1"/>
  <c r="F634" i="1"/>
  <c r="E634" i="1"/>
  <c r="D634" i="1"/>
  <c r="C634" i="1"/>
  <c r="V622" i="1"/>
  <c r="U622" i="1"/>
  <c r="T622" i="1"/>
  <c r="S622" i="1"/>
  <c r="R622" i="1"/>
  <c r="Q622" i="1"/>
  <c r="P622" i="1"/>
  <c r="O622" i="1"/>
  <c r="N622" i="1"/>
  <c r="M622" i="1"/>
  <c r="L622" i="1"/>
  <c r="K622" i="1"/>
  <c r="J622" i="1"/>
  <c r="I622" i="1"/>
  <c r="H622" i="1"/>
  <c r="G622" i="1"/>
  <c r="F622" i="1"/>
  <c r="E622" i="1"/>
  <c r="D622" i="1"/>
  <c r="C622" i="1"/>
  <c r="V619" i="1"/>
  <c r="U619" i="1"/>
  <c r="T619" i="1"/>
  <c r="S619" i="1"/>
  <c r="R619" i="1"/>
  <c r="Q619" i="1"/>
  <c r="Q601" i="1" s="1"/>
  <c r="P619" i="1"/>
  <c r="O619" i="1"/>
  <c r="O601" i="1" s="1"/>
  <c r="N619" i="1"/>
  <c r="M619" i="1"/>
  <c r="L619" i="1"/>
  <c r="K619" i="1"/>
  <c r="J619" i="1"/>
  <c r="I619" i="1"/>
  <c r="I601" i="1" s="1"/>
  <c r="H619" i="1"/>
  <c r="G619" i="1"/>
  <c r="G601" i="1" s="1"/>
  <c r="F619" i="1"/>
  <c r="E619" i="1"/>
  <c r="D619" i="1"/>
  <c r="C619" i="1"/>
  <c r="V618" i="1"/>
  <c r="U618" i="1"/>
  <c r="U615" i="1" s="1"/>
  <c r="U601" i="1" s="1"/>
  <c r="T618" i="1"/>
  <c r="S618" i="1"/>
  <c r="S615" i="1" s="1"/>
  <c r="R618" i="1"/>
  <c r="V615" i="1"/>
  <c r="T615" i="1"/>
  <c r="R615" i="1"/>
  <c r="Q615" i="1"/>
  <c r="P615" i="1"/>
  <c r="O615" i="1"/>
  <c r="N615" i="1"/>
  <c r="N601" i="1" s="1"/>
  <c r="M615" i="1"/>
  <c r="L615" i="1"/>
  <c r="K615" i="1"/>
  <c r="J615" i="1"/>
  <c r="I615" i="1"/>
  <c r="H615" i="1"/>
  <c r="G615" i="1"/>
  <c r="F615" i="1"/>
  <c r="E615" i="1"/>
  <c r="D615" i="1"/>
  <c r="C615" i="1"/>
  <c r="T614" i="1"/>
  <c r="S614" i="1"/>
  <c r="S591" i="1" s="1"/>
  <c r="V613" i="1"/>
  <c r="U613" i="1"/>
  <c r="T613" i="1"/>
  <c r="T571" i="1" s="1"/>
  <c r="S613" i="1"/>
  <c r="S571" i="1" s="1"/>
  <c r="R613" i="1"/>
  <c r="V605" i="1"/>
  <c r="V603" i="1"/>
  <c r="U603" i="1"/>
  <c r="R603" i="1"/>
  <c r="R601" i="1" s="1"/>
  <c r="Q603" i="1"/>
  <c r="P603" i="1"/>
  <c r="O603" i="1"/>
  <c r="N603" i="1"/>
  <c r="M603" i="1"/>
  <c r="L603" i="1"/>
  <c r="K603" i="1"/>
  <c r="J603" i="1"/>
  <c r="J601" i="1" s="1"/>
  <c r="I603" i="1"/>
  <c r="H603" i="1"/>
  <c r="H601" i="1" s="1"/>
  <c r="G603" i="1"/>
  <c r="F603" i="1"/>
  <c r="F601" i="1" s="1"/>
  <c r="E603" i="1"/>
  <c r="D603" i="1"/>
  <c r="C603" i="1"/>
  <c r="V602" i="1" a="1"/>
  <c r="V602" i="1" s="1"/>
  <c r="U602" i="1" a="1"/>
  <c r="R602" i="1" a="1"/>
  <c r="R602" i="1" s="1"/>
  <c r="Q602" i="1" a="1"/>
  <c r="Q602" i="1" s="1"/>
  <c r="P602" i="1" a="1"/>
  <c r="O602" i="1" a="1"/>
  <c r="O602" i="1" s="1"/>
  <c r="N602" i="1" a="1"/>
  <c r="M602" i="1" a="1"/>
  <c r="M602" i="1" s="1"/>
  <c r="L602" i="1" a="1"/>
  <c r="L602" i="1" s="1"/>
  <c r="K602" i="1" a="1"/>
  <c r="J602" i="1" a="1"/>
  <c r="J602" i="1" s="1"/>
  <c r="I602" i="1" a="1"/>
  <c r="I602" i="1" s="1"/>
  <c r="H602" i="1" a="1"/>
  <c r="G602" i="1" a="1"/>
  <c r="G602" i="1" s="1"/>
  <c r="F602" i="1" a="1"/>
  <c r="E602" i="1" a="1"/>
  <c r="E602" i="1" s="1"/>
  <c r="D602" i="1" a="1"/>
  <c r="D602" i="1" s="1"/>
  <c r="C602" i="1" a="1"/>
  <c r="P601" i="1"/>
  <c r="L601" i="1"/>
  <c r="D601" i="1"/>
  <c r="V598" i="1"/>
  <c r="U598" i="1"/>
  <c r="T598" i="1"/>
  <c r="S598" i="1"/>
  <c r="S596" i="1" s="1"/>
  <c r="R598" i="1"/>
  <c r="Q598" i="1"/>
  <c r="P598" i="1"/>
  <c r="P596" i="1" s="1"/>
  <c r="O598" i="1"/>
  <c r="N598" i="1"/>
  <c r="M598" i="1"/>
  <c r="L598" i="1"/>
  <c r="K598" i="1"/>
  <c r="J598" i="1"/>
  <c r="I598" i="1"/>
  <c r="H598" i="1"/>
  <c r="G598" i="1"/>
  <c r="F598" i="1"/>
  <c r="E598" i="1"/>
  <c r="D598" i="1"/>
  <c r="C598" i="1"/>
  <c r="V597" i="1"/>
  <c r="U597" i="1"/>
  <c r="U596" i="1" s="1"/>
  <c r="T597" i="1"/>
  <c r="S597" i="1"/>
  <c r="R597" i="1"/>
  <c r="Q597" i="1"/>
  <c r="Q596" i="1" s="1"/>
  <c r="P597" i="1"/>
  <c r="O597" i="1"/>
  <c r="N597" i="1"/>
  <c r="M597" i="1"/>
  <c r="L597" i="1"/>
  <c r="L596" i="1" s="1"/>
  <c r="K597" i="1"/>
  <c r="J597" i="1"/>
  <c r="J596" i="1" s="1"/>
  <c r="I597" i="1"/>
  <c r="I596" i="1" s="1"/>
  <c r="H597" i="1"/>
  <c r="H596" i="1" s="1"/>
  <c r="G597" i="1"/>
  <c r="F597" i="1"/>
  <c r="E597" i="1"/>
  <c r="D597" i="1"/>
  <c r="D596" i="1" s="1"/>
  <c r="C597" i="1"/>
  <c r="T596" i="1"/>
  <c r="R596" i="1"/>
  <c r="O596" i="1"/>
  <c r="K596" i="1"/>
  <c r="G596" i="1"/>
  <c r="E596" i="1"/>
  <c r="C596" i="1"/>
  <c r="V595" i="1"/>
  <c r="U595" i="1"/>
  <c r="T595" i="1"/>
  <c r="S595" i="1"/>
  <c r="R595" i="1"/>
  <c r="Q595" i="1"/>
  <c r="P595" i="1"/>
  <c r="O595" i="1"/>
  <c r="N595" i="1"/>
  <c r="M595" i="1"/>
  <c r="L595" i="1"/>
  <c r="K595" i="1"/>
  <c r="J595" i="1"/>
  <c r="I595" i="1"/>
  <c r="H595" i="1"/>
  <c r="G595" i="1"/>
  <c r="F595" i="1"/>
  <c r="E595" i="1"/>
  <c r="D595" i="1"/>
  <c r="C595" i="1"/>
  <c r="Q594" i="1"/>
  <c r="M594" i="1"/>
  <c r="F594" i="1"/>
  <c r="E594" i="1"/>
  <c r="E592" i="1" s="1"/>
  <c r="D594" i="1"/>
  <c r="C594" i="1"/>
  <c r="V593" i="1"/>
  <c r="U593" i="1"/>
  <c r="T593" i="1"/>
  <c r="S593" i="1"/>
  <c r="R593" i="1"/>
  <c r="Q593" i="1"/>
  <c r="P593" i="1"/>
  <c r="O593" i="1"/>
  <c r="N593" i="1"/>
  <c r="M593" i="1"/>
  <c r="L593" i="1"/>
  <c r="K593" i="1"/>
  <c r="J593" i="1"/>
  <c r="I593" i="1"/>
  <c r="H593" i="1"/>
  <c r="G593" i="1"/>
  <c r="F593" i="1"/>
  <c r="F592" i="1" s="1"/>
  <c r="E593" i="1"/>
  <c r="D593" i="1"/>
  <c r="D592" i="1" s="1"/>
  <c r="C593" i="1"/>
  <c r="C592" i="1" s="1"/>
  <c r="M592" i="1"/>
  <c r="V591" i="1"/>
  <c r="U591" i="1"/>
  <c r="T591" i="1"/>
  <c r="R591" i="1"/>
  <c r="Q591" i="1"/>
  <c r="P591" i="1"/>
  <c r="O591" i="1"/>
  <c r="N591" i="1"/>
  <c r="M591" i="1"/>
  <c r="L591" i="1"/>
  <c r="K591" i="1"/>
  <c r="J591" i="1"/>
  <c r="I591" i="1"/>
  <c r="H591" i="1"/>
  <c r="G591" i="1"/>
  <c r="F591" i="1"/>
  <c r="E591" i="1"/>
  <c r="D591" i="1"/>
  <c r="C591" i="1"/>
  <c r="V590" i="1"/>
  <c r="U590" i="1"/>
  <c r="R590" i="1"/>
  <c r="Q590" i="1"/>
  <c r="P590" i="1"/>
  <c r="O590" i="1"/>
  <c r="N590" i="1"/>
  <c r="M590" i="1"/>
  <c r="L590" i="1"/>
  <c r="K590" i="1"/>
  <c r="J590" i="1"/>
  <c r="I590" i="1"/>
  <c r="H590" i="1"/>
  <c r="G590" i="1"/>
  <c r="F590" i="1"/>
  <c r="E590" i="1"/>
  <c r="D590" i="1"/>
  <c r="C590" i="1"/>
  <c r="V589" i="1"/>
  <c r="U589" i="1"/>
  <c r="T589" i="1"/>
  <c r="S589" i="1"/>
  <c r="R589" i="1"/>
  <c r="Q589" i="1"/>
  <c r="P589" i="1"/>
  <c r="O589" i="1"/>
  <c r="N589" i="1"/>
  <c r="M589" i="1"/>
  <c r="L589" i="1"/>
  <c r="K589" i="1"/>
  <c r="J589" i="1"/>
  <c r="I589" i="1"/>
  <c r="H589" i="1"/>
  <c r="G589" i="1"/>
  <c r="F589" i="1"/>
  <c r="E589" i="1"/>
  <c r="D589" i="1"/>
  <c r="C589" i="1"/>
  <c r="V588" i="1"/>
  <c r="U588" i="1"/>
  <c r="T588" i="1"/>
  <c r="S588" i="1"/>
  <c r="R588" i="1"/>
  <c r="Q588" i="1"/>
  <c r="P588" i="1"/>
  <c r="O588" i="1"/>
  <c r="N588" i="1"/>
  <c r="M588" i="1"/>
  <c r="L588" i="1"/>
  <c r="K588" i="1"/>
  <c r="J588" i="1"/>
  <c r="I588" i="1"/>
  <c r="H588" i="1"/>
  <c r="G588" i="1"/>
  <c r="F588" i="1"/>
  <c r="E588" i="1"/>
  <c r="D588" i="1"/>
  <c r="C588" i="1"/>
  <c r="V587" i="1"/>
  <c r="U587" i="1"/>
  <c r="T587" i="1"/>
  <c r="S587" i="1"/>
  <c r="R587" i="1"/>
  <c r="Q587" i="1"/>
  <c r="P587" i="1"/>
  <c r="O587" i="1"/>
  <c r="N587" i="1"/>
  <c r="M587" i="1"/>
  <c r="L587" i="1"/>
  <c r="K587" i="1"/>
  <c r="J587" i="1"/>
  <c r="I587" i="1"/>
  <c r="H587" i="1"/>
  <c r="G587" i="1"/>
  <c r="F587" i="1"/>
  <c r="E587" i="1"/>
  <c r="D587" i="1"/>
  <c r="C587" i="1"/>
  <c r="V586" i="1"/>
  <c r="U586" i="1"/>
  <c r="T586" i="1"/>
  <c r="S586" i="1"/>
  <c r="R586" i="1"/>
  <c r="Q586" i="1"/>
  <c r="P586" i="1"/>
  <c r="O586" i="1"/>
  <c r="N586" i="1"/>
  <c r="M586" i="1"/>
  <c r="L586" i="1"/>
  <c r="K586" i="1"/>
  <c r="J586" i="1"/>
  <c r="I586" i="1"/>
  <c r="H586" i="1"/>
  <c r="G586" i="1"/>
  <c r="F586" i="1"/>
  <c r="E586" i="1"/>
  <c r="D586" i="1"/>
  <c r="C586" i="1"/>
  <c r="V585" i="1"/>
  <c r="U585" i="1"/>
  <c r="T585" i="1"/>
  <c r="S585" i="1"/>
  <c r="R585" i="1"/>
  <c r="Q585" i="1"/>
  <c r="P585" i="1"/>
  <c r="O585" i="1"/>
  <c r="N585" i="1"/>
  <c r="M585" i="1"/>
  <c r="L585" i="1"/>
  <c r="K585" i="1"/>
  <c r="J585" i="1"/>
  <c r="I585" i="1"/>
  <c r="H585" i="1"/>
  <c r="G585" i="1"/>
  <c r="F585" i="1"/>
  <c r="E585" i="1"/>
  <c r="D585" i="1"/>
  <c r="C585" i="1"/>
  <c r="V584" i="1"/>
  <c r="U584" i="1"/>
  <c r="T584" i="1"/>
  <c r="S584" i="1"/>
  <c r="R584" i="1"/>
  <c r="Q584" i="1"/>
  <c r="P584" i="1"/>
  <c r="O584" i="1"/>
  <c r="N584" i="1"/>
  <c r="M584" i="1"/>
  <c r="L584" i="1"/>
  <c r="K584" i="1"/>
  <c r="J584" i="1"/>
  <c r="I584" i="1"/>
  <c r="H584" i="1"/>
  <c r="G584" i="1"/>
  <c r="F584" i="1"/>
  <c r="E584" i="1"/>
  <c r="D584" i="1"/>
  <c r="C584" i="1"/>
  <c r="V583" i="1"/>
  <c r="U583" i="1"/>
  <c r="T583" i="1"/>
  <c r="S583" i="1"/>
  <c r="R583" i="1"/>
  <c r="Q583" i="1"/>
  <c r="P583" i="1"/>
  <c r="O583" i="1"/>
  <c r="N583" i="1"/>
  <c r="M583" i="1"/>
  <c r="L583" i="1"/>
  <c r="K583" i="1"/>
  <c r="J583" i="1"/>
  <c r="I583" i="1"/>
  <c r="H583" i="1"/>
  <c r="G583" i="1"/>
  <c r="F583" i="1"/>
  <c r="E583" i="1"/>
  <c r="D583" i="1"/>
  <c r="C583" i="1"/>
  <c r="U582" i="1"/>
  <c r="T582" i="1"/>
  <c r="S582" i="1"/>
  <c r="R582" i="1"/>
  <c r="Q582" i="1"/>
  <c r="Q580" i="1" s="1"/>
  <c r="P582" i="1"/>
  <c r="O582" i="1"/>
  <c r="N582" i="1"/>
  <c r="M582" i="1"/>
  <c r="L582" i="1"/>
  <c r="L580" i="1" s="1"/>
  <c r="K582" i="1"/>
  <c r="J582" i="1"/>
  <c r="I582" i="1"/>
  <c r="H582" i="1"/>
  <c r="G582" i="1"/>
  <c r="G580" i="1" s="1"/>
  <c r="F582" i="1"/>
  <c r="E582" i="1"/>
  <c r="D582" i="1"/>
  <c r="D580" i="1" s="1"/>
  <c r="D578" i="1" s="1"/>
  <c r="D579" i="1" s="1"/>
  <c r="C582" i="1"/>
  <c r="V581" i="1"/>
  <c r="U581" i="1"/>
  <c r="U580" i="1" s="1"/>
  <c r="U578" i="1" s="1"/>
  <c r="U579" i="1" s="1"/>
  <c r="T581" i="1"/>
  <c r="S581" i="1"/>
  <c r="R581" i="1"/>
  <c r="Q581" i="1"/>
  <c r="P581" i="1"/>
  <c r="P580" i="1" s="1"/>
  <c r="O581" i="1"/>
  <c r="N581" i="1"/>
  <c r="M581" i="1"/>
  <c r="M580" i="1" s="1"/>
  <c r="L581" i="1"/>
  <c r="K581" i="1"/>
  <c r="K580" i="1" s="1"/>
  <c r="J581" i="1"/>
  <c r="I581" i="1"/>
  <c r="H581" i="1"/>
  <c r="H580" i="1" s="1"/>
  <c r="G581" i="1"/>
  <c r="F581" i="1"/>
  <c r="E581" i="1"/>
  <c r="E580" i="1" s="1"/>
  <c r="E578" i="1" s="1"/>
  <c r="E579" i="1" s="1"/>
  <c r="D581" i="1"/>
  <c r="C581" i="1"/>
  <c r="O580" i="1"/>
  <c r="J580" i="1"/>
  <c r="V576" i="1"/>
  <c r="U576" i="1"/>
  <c r="T576" i="1"/>
  <c r="S576" i="1"/>
  <c r="R576" i="1"/>
  <c r="Q576" i="1"/>
  <c r="P576" i="1"/>
  <c r="O576" i="1"/>
  <c r="N576" i="1"/>
  <c r="M576" i="1"/>
  <c r="L576" i="1"/>
  <c r="K576" i="1"/>
  <c r="J576" i="1"/>
  <c r="I576" i="1"/>
  <c r="H576" i="1"/>
  <c r="G576" i="1"/>
  <c r="F576" i="1"/>
  <c r="E576" i="1"/>
  <c r="D576" i="1"/>
  <c r="C576" i="1"/>
  <c r="V575" i="1"/>
  <c r="U575" i="1"/>
  <c r="T575" i="1"/>
  <c r="S575" i="1"/>
  <c r="R575" i="1"/>
  <c r="Q575" i="1"/>
  <c r="P575" i="1"/>
  <c r="O575" i="1"/>
  <c r="N575" i="1"/>
  <c r="M575" i="1"/>
  <c r="L575" i="1"/>
  <c r="K575" i="1"/>
  <c r="J575" i="1"/>
  <c r="I575" i="1"/>
  <c r="H575" i="1"/>
  <c r="G575" i="1"/>
  <c r="F575" i="1"/>
  <c r="E575" i="1"/>
  <c r="D575" i="1"/>
  <c r="C575" i="1"/>
  <c r="M574" i="1"/>
  <c r="H574" i="1"/>
  <c r="E574" i="1"/>
  <c r="U573" i="1"/>
  <c r="R573" i="1"/>
  <c r="Q573" i="1"/>
  <c r="M573" i="1"/>
  <c r="E573" i="1"/>
  <c r="V572" i="1"/>
  <c r="U572" i="1"/>
  <c r="T572" i="1"/>
  <c r="R572" i="1"/>
  <c r="Q572" i="1"/>
  <c r="P572" i="1"/>
  <c r="O572" i="1"/>
  <c r="N572" i="1"/>
  <c r="M572" i="1"/>
  <c r="L572" i="1"/>
  <c r="K572" i="1"/>
  <c r="J572" i="1"/>
  <c r="I572" i="1"/>
  <c r="H572" i="1"/>
  <c r="G572" i="1"/>
  <c r="F572" i="1"/>
  <c r="E572" i="1"/>
  <c r="D572" i="1"/>
  <c r="C572" i="1"/>
  <c r="V571" i="1"/>
  <c r="U571" i="1"/>
  <c r="R571" i="1"/>
  <c r="Q571" i="1"/>
  <c r="P571" i="1"/>
  <c r="O571" i="1"/>
  <c r="N571" i="1"/>
  <c r="M571" i="1"/>
  <c r="L571" i="1"/>
  <c r="K571" i="1"/>
  <c r="J571" i="1"/>
  <c r="I571" i="1"/>
  <c r="H571" i="1"/>
  <c r="G571" i="1"/>
  <c r="F571" i="1"/>
  <c r="E571" i="1"/>
  <c r="D571" i="1"/>
  <c r="C571" i="1"/>
  <c r="V570" i="1"/>
  <c r="U570" i="1"/>
  <c r="T570" i="1"/>
  <c r="S570" i="1"/>
  <c r="R570" i="1"/>
  <c r="Q570" i="1"/>
  <c r="P570" i="1"/>
  <c r="O570" i="1"/>
  <c r="N570" i="1"/>
  <c r="M570" i="1"/>
  <c r="L570" i="1"/>
  <c r="K570" i="1"/>
  <c r="J570" i="1"/>
  <c r="I570" i="1"/>
  <c r="H570" i="1"/>
  <c r="G570" i="1"/>
  <c r="F570" i="1"/>
  <c r="E570" i="1"/>
  <c r="D570" i="1"/>
  <c r="C570" i="1"/>
  <c r="V569" i="1"/>
  <c r="U569" i="1"/>
  <c r="T569" i="1"/>
  <c r="S569" i="1"/>
  <c r="R569" i="1"/>
  <c r="Q569" i="1"/>
  <c r="P569" i="1"/>
  <c r="O569" i="1"/>
  <c r="N569" i="1"/>
  <c r="M569" i="1"/>
  <c r="L569" i="1"/>
  <c r="K569" i="1"/>
  <c r="J569" i="1"/>
  <c r="I569" i="1"/>
  <c r="H569" i="1"/>
  <c r="G569" i="1"/>
  <c r="F569" i="1"/>
  <c r="E569" i="1"/>
  <c r="D569" i="1"/>
  <c r="C569" i="1"/>
  <c r="V568" i="1"/>
  <c r="U568" i="1"/>
  <c r="T568" i="1"/>
  <c r="S568" i="1"/>
  <c r="R568" i="1"/>
  <c r="Q568" i="1"/>
  <c r="P568" i="1"/>
  <c r="O568" i="1"/>
  <c r="N568" i="1"/>
  <c r="M568" i="1"/>
  <c r="L568" i="1"/>
  <c r="K568" i="1"/>
  <c r="J568" i="1"/>
  <c r="I568" i="1"/>
  <c r="H568" i="1"/>
  <c r="G568" i="1"/>
  <c r="F568" i="1"/>
  <c r="E568" i="1"/>
  <c r="D568" i="1"/>
  <c r="C568" i="1"/>
  <c r="V567" i="1"/>
  <c r="U567" i="1"/>
  <c r="T567" i="1"/>
  <c r="S567" i="1"/>
  <c r="R567" i="1"/>
  <c r="Q567" i="1"/>
  <c r="P567" i="1"/>
  <c r="O567" i="1"/>
  <c r="N567" i="1"/>
  <c r="M567" i="1"/>
  <c r="L567" i="1"/>
  <c r="K567" i="1"/>
  <c r="J567" i="1"/>
  <c r="I567" i="1"/>
  <c r="H567" i="1"/>
  <c r="G567" i="1"/>
  <c r="F567" i="1"/>
  <c r="E567" i="1"/>
  <c r="D567" i="1"/>
  <c r="C567" i="1"/>
  <c r="V566" i="1"/>
  <c r="U566" i="1"/>
  <c r="T566" i="1"/>
  <c r="S566" i="1"/>
  <c r="R566" i="1"/>
  <c r="Q566" i="1"/>
  <c r="P566" i="1"/>
  <c r="O566" i="1"/>
  <c r="N566" i="1"/>
  <c r="M566" i="1"/>
  <c r="L566" i="1"/>
  <c r="K566" i="1"/>
  <c r="J566" i="1"/>
  <c r="I566" i="1"/>
  <c r="H566" i="1"/>
  <c r="G566" i="1"/>
  <c r="F566" i="1"/>
  <c r="E566" i="1"/>
  <c r="D566" i="1"/>
  <c r="C566" i="1"/>
  <c r="V565" i="1"/>
  <c r="U565" i="1"/>
  <c r="T565" i="1"/>
  <c r="S565" i="1"/>
  <c r="R565" i="1"/>
  <c r="Q565" i="1"/>
  <c r="P565" i="1"/>
  <c r="O565" i="1"/>
  <c r="N565" i="1"/>
  <c r="M565" i="1"/>
  <c r="L565" i="1"/>
  <c r="K565" i="1"/>
  <c r="J565" i="1"/>
  <c r="I565" i="1"/>
  <c r="H565" i="1"/>
  <c r="G565" i="1"/>
  <c r="F565" i="1"/>
  <c r="E565" i="1"/>
  <c r="D565" i="1"/>
  <c r="C565" i="1"/>
  <c r="V564" i="1"/>
  <c r="U564" i="1"/>
  <c r="T564" i="1"/>
  <c r="S564" i="1"/>
  <c r="R564" i="1"/>
  <c r="Q564" i="1"/>
  <c r="P564" i="1"/>
  <c r="O564" i="1"/>
  <c r="N564" i="1"/>
  <c r="M564" i="1"/>
  <c r="L564" i="1"/>
  <c r="K564" i="1"/>
  <c r="J564" i="1"/>
  <c r="I564" i="1"/>
  <c r="H564" i="1"/>
  <c r="G564" i="1"/>
  <c r="F564" i="1"/>
  <c r="E564" i="1"/>
  <c r="D564" i="1"/>
  <c r="C564" i="1"/>
  <c r="V563" i="1"/>
  <c r="U563" i="1"/>
  <c r="T563" i="1"/>
  <c r="S563" i="1"/>
  <c r="R563" i="1"/>
  <c r="Q563" i="1"/>
  <c r="P563" i="1"/>
  <c r="O563" i="1"/>
  <c r="N563" i="1"/>
  <c r="M563" i="1"/>
  <c r="L563" i="1"/>
  <c r="K563" i="1"/>
  <c r="J563" i="1"/>
  <c r="I563" i="1"/>
  <c r="H563" i="1"/>
  <c r="G563" i="1"/>
  <c r="G561" i="1" s="1"/>
  <c r="F563" i="1"/>
  <c r="E563" i="1"/>
  <c r="E561" i="1" s="1"/>
  <c r="E560" i="1" s="1"/>
  <c r="D563" i="1"/>
  <c r="C563" i="1"/>
  <c r="V562" i="1"/>
  <c r="V561" i="1" s="1"/>
  <c r="U562" i="1"/>
  <c r="T562" i="1"/>
  <c r="S562" i="1"/>
  <c r="R562" i="1"/>
  <c r="Q562" i="1"/>
  <c r="P562" i="1"/>
  <c r="O562" i="1"/>
  <c r="N562" i="1"/>
  <c r="N561" i="1" s="1"/>
  <c r="M562" i="1"/>
  <c r="L562" i="1"/>
  <c r="K562" i="1"/>
  <c r="J562" i="1"/>
  <c r="I562" i="1"/>
  <c r="I561" i="1" s="1"/>
  <c r="H562" i="1"/>
  <c r="G562" i="1"/>
  <c r="F562" i="1"/>
  <c r="F561" i="1" s="1"/>
  <c r="E562" i="1"/>
  <c r="D562" i="1"/>
  <c r="C562" i="1"/>
  <c r="U561" i="1"/>
  <c r="U560" i="1" s="1"/>
  <c r="Q561" i="1"/>
  <c r="Q560" i="1" s="1"/>
  <c r="O561" i="1"/>
  <c r="M561" i="1"/>
  <c r="M560" i="1" s="1"/>
  <c r="L561" i="1"/>
  <c r="H561" i="1"/>
  <c r="H560" i="1" s="1"/>
  <c r="D561" i="1"/>
  <c r="C561" i="1"/>
  <c r="V545" i="1"/>
  <c r="U545" i="1"/>
  <c r="T545" i="1"/>
  <c r="S545" i="1"/>
  <c r="R545" i="1"/>
  <c r="Q545" i="1"/>
  <c r="N545" i="1"/>
  <c r="L545" i="1"/>
  <c r="K545" i="1"/>
  <c r="J545" i="1"/>
  <c r="I545" i="1"/>
  <c r="H545" i="1"/>
  <c r="G545" i="1"/>
  <c r="F545" i="1"/>
  <c r="E545" i="1"/>
  <c r="D545" i="1"/>
  <c r="C545" i="1"/>
  <c r="O544" i="1"/>
  <c r="N544" i="1"/>
  <c r="S542" i="1"/>
  <c r="R542" i="1"/>
  <c r="N542" i="1"/>
  <c r="L542" i="1"/>
  <c r="K542" i="1"/>
  <c r="I542" i="1"/>
  <c r="D542" i="1"/>
  <c r="R527" i="1"/>
  <c r="R471" i="1" s="1"/>
  <c r="V517" i="1"/>
  <c r="U517" i="1"/>
  <c r="T517" i="1"/>
  <c r="S517" i="1"/>
  <c r="R517" i="1"/>
  <c r="R472" i="1" s="1"/>
  <c r="Q517" i="1"/>
  <c r="Q472" i="1" s="1"/>
  <c r="P517" i="1"/>
  <c r="O517" i="1"/>
  <c r="O472" i="1" s="1"/>
  <c r="N517" i="1"/>
  <c r="M517" i="1"/>
  <c r="M472" i="1" s="1"/>
  <c r="L517" i="1"/>
  <c r="H517" i="1"/>
  <c r="H472" i="1" s="1"/>
  <c r="G517" i="1"/>
  <c r="F517" i="1"/>
  <c r="F472" i="1" s="1"/>
  <c r="E517" i="1"/>
  <c r="E472" i="1" s="1"/>
  <c r="D517" i="1"/>
  <c r="D472" i="1" s="1"/>
  <c r="C517" i="1"/>
  <c r="S516" i="1"/>
  <c r="S471" i="1" s="1"/>
  <c r="J516" i="1"/>
  <c r="J471" i="1" s="1"/>
  <c r="I516" i="1"/>
  <c r="H516" i="1"/>
  <c r="G516" i="1"/>
  <c r="G471" i="1" s="1"/>
  <c r="F516" i="1"/>
  <c r="F471" i="1" s="1"/>
  <c r="E516" i="1"/>
  <c r="D516" i="1"/>
  <c r="C516" i="1"/>
  <c r="C471" i="1" s="1"/>
  <c r="U514" i="1"/>
  <c r="S514" i="1"/>
  <c r="Q514" i="1"/>
  <c r="P514" i="1"/>
  <c r="S513" i="1"/>
  <c r="O513" i="1"/>
  <c r="K513" i="1"/>
  <c r="E513" i="1"/>
  <c r="S512" i="1"/>
  <c r="R512" i="1"/>
  <c r="Q512" i="1"/>
  <c r="P512" i="1"/>
  <c r="U508" i="1"/>
  <c r="T508" i="1"/>
  <c r="S508" i="1"/>
  <c r="R508" i="1"/>
  <c r="Q508" i="1"/>
  <c r="P508" i="1"/>
  <c r="P505" i="1" s="1"/>
  <c r="U506" i="1"/>
  <c r="T506" i="1"/>
  <c r="T505" i="1" s="1"/>
  <c r="S506" i="1"/>
  <c r="S505" i="1" s="1"/>
  <c r="R506" i="1"/>
  <c r="Q506" i="1"/>
  <c r="V505" i="1"/>
  <c r="U505" i="1"/>
  <c r="U470" i="1" s="1"/>
  <c r="R505" i="1"/>
  <c r="Q505" i="1"/>
  <c r="O505" i="1"/>
  <c r="N505" i="1"/>
  <c r="M505" i="1"/>
  <c r="L505" i="1"/>
  <c r="K505" i="1"/>
  <c r="K470" i="1" s="1"/>
  <c r="K466" i="1" s="1"/>
  <c r="K464" i="1" s="1"/>
  <c r="L460" i="1" s="1"/>
  <c r="J505" i="1"/>
  <c r="I505" i="1"/>
  <c r="H505" i="1"/>
  <c r="G505" i="1"/>
  <c r="F505" i="1"/>
  <c r="E505" i="1"/>
  <c r="D505" i="1"/>
  <c r="C505" i="1"/>
  <c r="C470" i="1" s="1"/>
  <c r="C466" i="1" s="1"/>
  <c r="C464" i="1" s="1"/>
  <c r="D460" i="1" s="1"/>
  <c r="K504" i="1"/>
  <c r="K469" i="1" s="1"/>
  <c r="H504" i="1"/>
  <c r="D504" i="1"/>
  <c r="D469" i="1" s="1"/>
  <c r="U501" i="1"/>
  <c r="T501" i="1"/>
  <c r="T496" i="1" s="1"/>
  <c r="T470" i="1" s="1"/>
  <c r="S501" i="1"/>
  <c r="S496" i="1" s="1"/>
  <c r="R501" i="1"/>
  <c r="Q501" i="1"/>
  <c r="V496" i="1"/>
  <c r="U496" i="1"/>
  <c r="R496" i="1"/>
  <c r="R470" i="1" s="1"/>
  <c r="R466" i="1" s="1"/>
  <c r="R464" i="1" s="1"/>
  <c r="S460" i="1" s="1"/>
  <c r="Q496" i="1"/>
  <c r="P496" i="1"/>
  <c r="P470" i="1" s="1"/>
  <c r="O496" i="1"/>
  <c r="N496" i="1"/>
  <c r="M496" i="1"/>
  <c r="M470" i="1" s="1"/>
  <c r="M466" i="1" s="1"/>
  <c r="M464" i="1" s="1"/>
  <c r="N460" i="1" s="1"/>
  <c r="L496" i="1"/>
  <c r="L470" i="1" s="1"/>
  <c r="K496" i="1"/>
  <c r="J496" i="1"/>
  <c r="J470" i="1" s="1"/>
  <c r="I496" i="1"/>
  <c r="H496" i="1"/>
  <c r="H470" i="1" s="1"/>
  <c r="H466" i="1" s="1"/>
  <c r="H464" i="1" s="1"/>
  <c r="I460" i="1" s="1"/>
  <c r="G496" i="1"/>
  <c r="G470" i="1" s="1"/>
  <c r="F496" i="1"/>
  <c r="E496" i="1"/>
  <c r="E470" i="1" s="1"/>
  <c r="E466" i="1" s="1"/>
  <c r="E464" i="1" s="1"/>
  <c r="F460" i="1" s="1"/>
  <c r="D496" i="1"/>
  <c r="D470" i="1" s="1"/>
  <c r="C496" i="1"/>
  <c r="S495" i="1"/>
  <c r="S469" i="1" s="1"/>
  <c r="P489" i="1"/>
  <c r="P487" i="1"/>
  <c r="Q483" i="1"/>
  <c r="P483" i="1"/>
  <c r="P467" i="1" s="1"/>
  <c r="L483" i="1"/>
  <c r="O482" i="1"/>
  <c r="S481" i="1"/>
  <c r="L479" i="1"/>
  <c r="L467" i="1" s="1"/>
  <c r="U475" i="1"/>
  <c r="S475" i="1"/>
  <c r="O475" i="1"/>
  <c r="U473" i="1"/>
  <c r="U467" i="1" s="1"/>
  <c r="T473" i="1"/>
  <c r="O473" i="1"/>
  <c r="N473" i="1"/>
  <c r="M473" i="1"/>
  <c r="K473" i="1"/>
  <c r="E473" i="1"/>
  <c r="V472" i="1"/>
  <c r="U472" i="1"/>
  <c r="U466" i="1" s="1"/>
  <c r="U464" i="1" s="1"/>
  <c r="V460" i="1" s="1"/>
  <c r="T472" i="1"/>
  <c r="S472" i="1"/>
  <c r="P472" i="1"/>
  <c r="N472" i="1"/>
  <c r="L472" i="1"/>
  <c r="K472" i="1"/>
  <c r="J472" i="1"/>
  <c r="I472" i="1"/>
  <c r="G472" i="1"/>
  <c r="C472" i="1"/>
  <c r="V471" i="1"/>
  <c r="U471" i="1"/>
  <c r="T471" i="1"/>
  <c r="Q471" i="1"/>
  <c r="P471" i="1"/>
  <c r="O471" i="1"/>
  <c r="N471" i="1"/>
  <c r="M471" i="1"/>
  <c r="L471" i="1"/>
  <c r="K471" i="1"/>
  <c r="I471" i="1"/>
  <c r="H471" i="1"/>
  <c r="E471" i="1"/>
  <c r="D471" i="1"/>
  <c r="Q470" i="1"/>
  <c r="O470" i="1"/>
  <c r="I470" i="1"/>
  <c r="V469" i="1"/>
  <c r="U469" i="1"/>
  <c r="T469" i="1"/>
  <c r="R469" i="1"/>
  <c r="Q469" i="1"/>
  <c r="P469" i="1"/>
  <c r="O469" i="1"/>
  <c r="N469" i="1"/>
  <c r="M469" i="1"/>
  <c r="L469" i="1"/>
  <c r="J469" i="1"/>
  <c r="I469" i="1"/>
  <c r="H469" i="1"/>
  <c r="G469" i="1"/>
  <c r="F469" i="1"/>
  <c r="E469" i="1"/>
  <c r="C469" i="1"/>
  <c r="V468" i="1"/>
  <c r="U468" i="1"/>
  <c r="T468" i="1"/>
  <c r="S468" i="1"/>
  <c r="R468" i="1"/>
  <c r="Q468" i="1"/>
  <c r="P468" i="1"/>
  <c r="O468" i="1"/>
  <c r="O466" i="1" s="1"/>
  <c r="O464" i="1" s="1"/>
  <c r="P460" i="1" s="1"/>
  <c r="N468" i="1"/>
  <c r="M468" i="1"/>
  <c r="L468" i="1"/>
  <c r="K468" i="1"/>
  <c r="J468" i="1"/>
  <c r="I468" i="1"/>
  <c r="I466" i="1" s="1"/>
  <c r="I464" i="1" s="1"/>
  <c r="J460" i="1" s="1"/>
  <c r="H468" i="1"/>
  <c r="G468" i="1"/>
  <c r="G466" i="1" s="1"/>
  <c r="G464" i="1" s="1"/>
  <c r="H460" i="1" s="1"/>
  <c r="F468" i="1"/>
  <c r="E468" i="1"/>
  <c r="D468" i="1"/>
  <c r="C468" i="1"/>
  <c r="V467" i="1"/>
  <c r="T467" i="1"/>
  <c r="S467" i="1"/>
  <c r="R467" i="1"/>
  <c r="Q467" i="1"/>
  <c r="O467" i="1"/>
  <c r="N467" i="1"/>
  <c r="M467" i="1"/>
  <c r="K467" i="1"/>
  <c r="J467" i="1"/>
  <c r="I467" i="1"/>
  <c r="H467" i="1"/>
  <c r="G467" i="1"/>
  <c r="F467" i="1"/>
  <c r="E467" i="1"/>
  <c r="D467" i="1"/>
  <c r="C467" i="1"/>
  <c r="C460" i="1"/>
  <c r="C459" i="1"/>
  <c r="T458" i="1"/>
  <c r="Q458" i="1"/>
  <c r="P458" i="1"/>
  <c r="M458" i="1"/>
  <c r="L458" i="1"/>
  <c r="K458" i="1"/>
  <c r="J458" i="1"/>
  <c r="I458" i="1"/>
  <c r="H458" i="1"/>
  <c r="G458" i="1"/>
  <c r="F458" i="1"/>
  <c r="E458" i="1"/>
  <c r="D458" i="1"/>
  <c r="C458" i="1"/>
  <c r="U457" i="1"/>
  <c r="T457" i="1"/>
  <c r="S457" i="1"/>
  <c r="R457" i="1"/>
  <c r="Q457" i="1"/>
  <c r="P457" i="1"/>
  <c r="O457" i="1"/>
  <c r="N457" i="1"/>
  <c r="M457" i="1"/>
  <c r="L457" i="1"/>
  <c r="K457" i="1"/>
  <c r="J457" i="1"/>
  <c r="I457" i="1"/>
  <c r="H457" i="1"/>
  <c r="G457" i="1"/>
  <c r="F457" i="1"/>
  <c r="E457" i="1"/>
  <c r="D457" i="1"/>
  <c r="C457" i="1"/>
  <c r="U456" i="1"/>
  <c r="V212" i="1" s="1"/>
  <c r="T456" i="1"/>
  <c r="S456" i="1"/>
  <c r="R456" i="1"/>
  <c r="Q456" i="1"/>
  <c r="P456" i="1"/>
  <c r="O456" i="1"/>
  <c r="N456" i="1"/>
  <c r="M456" i="1"/>
  <c r="L456" i="1"/>
  <c r="K456" i="1"/>
  <c r="J456" i="1"/>
  <c r="I456" i="1"/>
  <c r="H456" i="1"/>
  <c r="G456" i="1"/>
  <c r="F456" i="1"/>
  <c r="E456" i="1"/>
  <c r="D456" i="1"/>
  <c r="C456" i="1"/>
  <c r="U455" i="1"/>
  <c r="T455" i="1"/>
  <c r="S455" i="1"/>
  <c r="R455" i="1"/>
  <c r="Q455" i="1"/>
  <c r="P455" i="1"/>
  <c r="O455" i="1"/>
  <c r="N455" i="1"/>
  <c r="M455" i="1"/>
  <c r="L455" i="1"/>
  <c r="K455" i="1"/>
  <c r="J455" i="1"/>
  <c r="I455" i="1"/>
  <c r="H455" i="1"/>
  <c r="G455" i="1"/>
  <c r="F455" i="1"/>
  <c r="E455" i="1"/>
  <c r="D455" i="1"/>
  <c r="C455" i="1"/>
  <c r="U454" i="1"/>
  <c r="V210" i="1" s="1"/>
  <c r="V454" i="1" s="1"/>
  <c r="Q454" i="1"/>
  <c r="O454" i="1"/>
  <c r="N454" i="1"/>
  <c r="M454" i="1"/>
  <c r="K454" i="1"/>
  <c r="I454" i="1"/>
  <c r="G454" i="1"/>
  <c r="E454" i="1"/>
  <c r="C454" i="1"/>
  <c r="U453" i="1"/>
  <c r="T453" i="1"/>
  <c r="S453" i="1"/>
  <c r="R453" i="1"/>
  <c r="Q453" i="1"/>
  <c r="P453" i="1"/>
  <c r="O453" i="1"/>
  <c r="N453" i="1"/>
  <c r="M453" i="1"/>
  <c r="L453" i="1"/>
  <c r="K453" i="1"/>
  <c r="J453" i="1"/>
  <c r="I453" i="1"/>
  <c r="H453" i="1"/>
  <c r="G453" i="1"/>
  <c r="F453" i="1"/>
  <c r="E453" i="1"/>
  <c r="D453" i="1"/>
  <c r="C453" i="1"/>
  <c r="U452" i="1"/>
  <c r="V208" i="1" s="1"/>
  <c r="T452" i="1"/>
  <c r="S452" i="1"/>
  <c r="R452" i="1"/>
  <c r="Q452" i="1"/>
  <c r="O452" i="1"/>
  <c r="N452" i="1"/>
  <c r="M452" i="1"/>
  <c r="L452" i="1"/>
  <c r="K452" i="1"/>
  <c r="J452" i="1"/>
  <c r="I452" i="1"/>
  <c r="H452" i="1"/>
  <c r="G452" i="1"/>
  <c r="F452" i="1"/>
  <c r="E452" i="1"/>
  <c r="D452" i="1"/>
  <c r="C452" i="1"/>
  <c r="U451" i="1"/>
  <c r="T451" i="1"/>
  <c r="S451" i="1"/>
  <c r="S446" i="1" s="1"/>
  <c r="R451" i="1"/>
  <c r="Q451" i="1"/>
  <c r="O451" i="1"/>
  <c r="N451" i="1"/>
  <c r="M451" i="1"/>
  <c r="L451" i="1"/>
  <c r="K451" i="1"/>
  <c r="J451" i="1"/>
  <c r="I451" i="1"/>
  <c r="H451" i="1"/>
  <c r="G451" i="1"/>
  <c r="F451" i="1"/>
  <c r="E451" i="1"/>
  <c r="D451" i="1"/>
  <c r="C451" i="1"/>
  <c r="U450" i="1"/>
  <c r="T450" i="1"/>
  <c r="S450" i="1"/>
  <c r="R450" i="1"/>
  <c r="Q450" i="1"/>
  <c r="P450" i="1"/>
  <c r="O450" i="1"/>
  <c r="N450" i="1"/>
  <c r="M450" i="1"/>
  <c r="L450" i="1"/>
  <c r="K450" i="1"/>
  <c r="J450" i="1"/>
  <c r="I450" i="1"/>
  <c r="H450" i="1"/>
  <c r="G450" i="1"/>
  <c r="F450" i="1"/>
  <c r="E450" i="1"/>
  <c r="D450" i="1"/>
  <c r="D446" i="1" s="1"/>
  <c r="C450" i="1"/>
  <c r="T449" i="1"/>
  <c r="S449" i="1"/>
  <c r="R449" i="1"/>
  <c r="Q449" i="1"/>
  <c r="O449" i="1"/>
  <c r="N449" i="1"/>
  <c r="N446" i="1" s="1"/>
  <c r="M449" i="1"/>
  <c r="L449" i="1"/>
  <c r="K449" i="1"/>
  <c r="J449" i="1"/>
  <c r="I449" i="1"/>
  <c r="H449" i="1"/>
  <c r="G449" i="1"/>
  <c r="F449" i="1"/>
  <c r="F446" i="1" s="1"/>
  <c r="E449" i="1"/>
  <c r="D449" i="1"/>
  <c r="C449" i="1"/>
  <c r="T448" i="1"/>
  <c r="S448" i="1"/>
  <c r="R448" i="1"/>
  <c r="Q448" i="1"/>
  <c r="P448" i="1"/>
  <c r="O448" i="1"/>
  <c r="N448" i="1"/>
  <c r="M448" i="1"/>
  <c r="M446" i="1" s="1"/>
  <c r="L448" i="1"/>
  <c r="L446" i="1" s="1"/>
  <c r="K448" i="1"/>
  <c r="K446" i="1" s="1"/>
  <c r="J448" i="1"/>
  <c r="I448" i="1"/>
  <c r="H448" i="1"/>
  <c r="H446" i="1" s="1"/>
  <c r="G448" i="1"/>
  <c r="F448" i="1"/>
  <c r="E448" i="1"/>
  <c r="D448" i="1"/>
  <c r="C448" i="1"/>
  <c r="T447" i="1"/>
  <c r="S447" i="1"/>
  <c r="R447" i="1"/>
  <c r="R446" i="1" s="1"/>
  <c r="Q447" i="1"/>
  <c r="P447" i="1"/>
  <c r="O447" i="1"/>
  <c r="N447" i="1"/>
  <c r="M447" i="1"/>
  <c r="L447" i="1"/>
  <c r="K447" i="1"/>
  <c r="J447" i="1"/>
  <c r="I447" i="1"/>
  <c r="I446" i="1" s="1"/>
  <c r="H447" i="1"/>
  <c r="G447" i="1"/>
  <c r="G446" i="1" s="1"/>
  <c r="F447" i="1"/>
  <c r="E447" i="1"/>
  <c r="E446" i="1" s="1"/>
  <c r="D447" i="1"/>
  <c r="C447" i="1"/>
  <c r="C446" i="1" s="1"/>
  <c r="T446" i="1"/>
  <c r="O446" i="1"/>
  <c r="J446" i="1"/>
  <c r="U445" i="1"/>
  <c r="T445" i="1"/>
  <c r="S445" i="1"/>
  <c r="R445" i="1"/>
  <c r="Q445" i="1"/>
  <c r="P445" i="1"/>
  <c r="O445" i="1"/>
  <c r="N445" i="1"/>
  <c r="M445" i="1"/>
  <c r="K445" i="1"/>
  <c r="J445" i="1"/>
  <c r="I445" i="1"/>
  <c r="H445" i="1"/>
  <c r="G445" i="1"/>
  <c r="F445" i="1"/>
  <c r="E445" i="1"/>
  <c r="D445" i="1"/>
  <c r="C445" i="1"/>
  <c r="C434" i="1" s="1"/>
  <c r="U444" i="1"/>
  <c r="V200" i="1" s="1"/>
  <c r="T444" i="1"/>
  <c r="S444" i="1"/>
  <c r="R444" i="1"/>
  <c r="Q444" i="1"/>
  <c r="P444" i="1"/>
  <c r="O444" i="1"/>
  <c r="N444" i="1"/>
  <c r="M444" i="1"/>
  <c r="L444" i="1"/>
  <c r="K444" i="1"/>
  <c r="J444" i="1"/>
  <c r="I444" i="1"/>
  <c r="H444" i="1"/>
  <c r="G444" i="1"/>
  <c r="F444" i="1"/>
  <c r="E444" i="1"/>
  <c r="D444" i="1"/>
  <c r="C444" i="1"/>
  <c r="U443" i="1"/>
  <c r="V199" i="1" s="1"/>
  <c r="T443" i="1"/>
  <c r="S443" i="1"/>
  <c r="R443" i="1"/>
  <c r="Q443" i="1"/>
  <c r="P443" i="1"/>
  <c r="O443" i="1"/>
  <c r="N443" i="1"/>
  <c r="M443" i="1"/>
  <c r="L443" i="1"/>
  <c r="K443" i="1"/>
  <c r="J443" i="1"/>
  <c r="I443" i="1"/>
  <c r="H443" i="1"/>
  <c r="G443" i="1"/>
  <c r="F443" i="1"/>
  <c r="E443" i="1"/>
  <c r="D443" i="1"/>
  <c r="C443" i="1"/>
  <c r="U442" i="1"/>
  <c r="V198" i="1" s="1"/>
  <c r="T442" i="1"/>
  <c r="S442" i="1"/>
  <c r="R442" i="1"/>
  <c r="Q442" i="1"/>
  <c r="P442" i="1"/>
  <c r="O442" i="1"/>
  <c r="N442" i="1"/>
  <c r="M442" i="1"/>
  <c r="L442" i="1"/>
  <c r="K442" i="1"/>
  <c r="J442" i="1"/>
  <c r="I442" i="1"/>
  <c r="H442" i="1"/>
  <c r="G442" i="1"/>
  <c r="F442" i="1"/>
  <c r="E442" i="1"/>
  <c r="D442" i="1"/>
  <c r="C442" i="1"/>
  <c r="U441" i="1"/>
  <c r="T441" i="1"/>
  <c r="S441" i="1"/>
  <c r="R441" i="1"/>
  <c r="Q441" i="1"/>
  <c r="P441" i="1"/>
  <c r="O441" i="1"/>
  <c r="N441" i="1"/>
  <c r="M441" i="1"/>
  <c r="L441" i="1"/>
  <c r="K441" i="1"/>
  <c r="J441" i="1"/>
  <c r="I441" i="1"/>
  <c r="H441" i="1"/>
  <c r="G441" i="1"/>
  <c r="F441" i="1"/>
  <c r="E441" i="1"/>
  <c r="D441" i="1"/>
  <c r="C441" i="1"/>
  <c r="U440" i="1"/>
  <c r="V196" i="1" s="1"/>
  <c r="T440" i="1"/>
  <c r="S440" i="1"/>
  <c r="R440" i="1"/>
  <c r="Q440" i="1"/>
  <c r="P440" i="1"/>
  <c r="O440" i="1"/>
  <c r="N440" i="1"/>
  <c r="M440" i="1"/>
  <c r="L440" i="1"/>
  <c r="K440" i="1"/>
  <c r="J440" i="1"/>
  <c r="I440" i="1"/>
  <c r="H440" i="1"/>
  <c r="G440" i="1"/>
  <c r="F440" i="1"/>
  <c r="E440" i="1"/>
  <c r="D440" i="1"/>
  <c r="C440" i="1"/>
  <c r="U439" i="1"/>
  <c r="T439" i="1"/>
  <c r="R439" i="1"/>
  <c r="Q439" i="1"/>
  <c r="P439" i="1"/>
  <c r="O439" i="1"/>
  <c r="N439" i="1"/>
  <c r="M439" i="1"/>
  <c r="L439" i="1"/>
  <c r="K439" i="1"/>
  <c r="J439" i="1"/>
  <c r="I439" i="1"/>
  <c r="H439" i="1"/>
  <c r="G439" i="1"/>
  <c r="F439" i="1"/>
  <c r="E439" i="1"/>
  <c r="D439" i="1"/>
  <c r="C439" i="1"/>
  <c r="U438" i="1"/>
  <c r="V194" i="1" s="1"/>
  <c r="S438" i="1"/>
  <c r="R438" i="1"/>
  <c r="Q438" i="1"/>
  <c r="O438" i="1"/>
  <c r="N438" i="1"/>
  <c r="M438" i="1"/>
  <c r="L438" i="1"/>
  <c r="K438" i="1"/>
  <c r="J438" i="1"/>
  <c r="I438" i="1"/>
  <c r="H438" i="1"/>
  <c r="G438" i="1"/>
  <c r="F438" i="1"/>
  <c r="E438" i="1"/>
  <c r="E434" i="1" s="1"/>
  <c r="D438" i="1"/>
  <c r="C438" i="1"/>
  <c r="U437" i="1"/>
  <c r="V193" i="1" s="1"/>
  <c r="V141" i="2" s="1"/>
  <c r="V190" i="2" s="1"/>
  <c r="S437" i="1"/>
  <c r="R437" i="1"/>
  <c r="Q437" i="1"/>
  <c r="O437" i="1"/>
  <c r="N437" i="1"/>
  <c r="N434" i="1" s="1"/>
  <c r="M437" i="1"/>
  <c r="L437" i="1"/>
  <c r="K437" i="1"/>
  <c r="K434" i="1" s="1"/>
  <c r="J437" i="1"/>
  <c r="H437" i="1"/>
  <c r="H434" i="1" s="1"/>
  <c r="G437" i="1"/>
  <c r="E437" i="1"/>
  <c r="D437" i="1"/>
  <c r="C437" i="1"/>
  <c r="U436" i="1"/>
  <c r="V192" i="1" s="1"/>
  <c r="T436" i="1"/>
  <c r="S436" i="1"/>
  <c r="R436" i="1"/>
  <c r="Q436" i="1"/>
  <c r="P436" i="1"/>
  <c r="O436" i="1"/>
  <c r="N436" i="1"/>
  <c r="M436" i="1"/>
  <c r="L436" i="1"/>
  <c r="K436" i="1"/>
  <c r="J436" i="1"/>
  <c r="I436" i="1"/>
  <c r="H436" i="1"/>
  <c r="G436" i="1"/>
  <c r="F436" i="1"/>
  <c r="E436" i="1"/>
  <c r="D436" i="1"/>
  <c r="D434" i="1" s="1"/>
  <c r="C436" i="1"/>
  <c r="U435" i="1"/>
  <c r="V191" i="1" s="1"/>
  <c r="T435" i="1"/>
  <c r="S435" i="1"/>
  <c r="R435" i="1"/>
  <c r="R434" i="1" s="1"/>
  <c r="Q435" i="1"/>
  <c r="P435" i="1"/>
  <c r="O435" i="1"/>
  <c r="O434" i="1" s="1"/>
  <c r="N435" i="1"/>
  <c r="M435" i="1"/>
  <c r="M434" i="1" s="1"/>
  <c r="L435" i="1"/>
  <c r="K435" i="1"/>
  <c r="J435" i="1"/>
  <c r="J434" i="1" s="1"/>
  <c r="I435" i="1"/>
  <c r="H435" i="1"/>
  <c r="G435" i="1"/>
  <c r="F435" i="1"/>
  <c r="E435" i="1"/>
  <c r="D435" i="1"/>
  <c r="C435" i="1"/>
  <c r="U434" i="1"/>
  <c r="G434" i="1"/>
  <c r="U433" i="1"/>
  <c r="T433" i="1"/>
  <c r="T465" i="1" s="1"/>
  <c r="S433" i="1"/>
  <c r="R433" i="1"/>
  <c r="R432" i="1" s="1"/>
  <c r="Q433" i="1"/>
  <c r="Q432" i="1" s="1"/>
  <c r="P433" i="1"/>
  <c r="O433" i="1"/>
  <c r="N433" i="1"/>
  <c r="N465" i="1" s="1"/>
  <c r="M433" i="1"/>
  <c r="M432" i="1" s="1"/>
  <c r="L433" i="1"/>
  <c r="L432" i="1" s="1"/>
  <c r="K433" i="1"/>
  <c r="J433" i="1"/>
  <c r="I433" i="1"/>
  <c r="I432" i="1" s="1"/>
  <c r="H433" i="1"/>
  <c r="H432" i="1" s="1"/>
  <c r="G433" i="1"/>
  <c r="F433" i="1"/>
  <c r="F432" i="1" s="1"/>
  <c r="E433" i="1"/>
  <c r="D433" i="1"/>
  <c r="D432" i="1" s="1"/>
  <c r="C433" i="1"/>
  <c r="U432" i="1"/>
  <c r="T432" i="1"/>
  <c r="S432" i="1"/>
  <c r="P432" i="1"/>
  <c r="O432" i="1"/>
  <c r="K432" i="1"/>
  <c r="J432" i="1"/>
  <c r="G432" i="1"/>
  <c r="E432" i="1"/>
  <c r="C432" i="1"/>
  <c r="U431" i="1"/>
  <c r="V187" i="1" s="1"/>
  <c r="V136" i="2" s="1"/>
  <c r="V185" i="2" s="1"/>
  <c r="T431" i="1"/>
  <c r="R431" i="1"/>
  <c r="Q431" i="1"/>
  <c r="P431" i="1"/>
  <c r="O431" i="1"/>
  <c r="N431" i="1"/>
  <c r="M431" i="1"/>
  <c r="L431" i="1"/>
  <c r="K431" i="1"/>
  <c r="J431" i="1"/>
  <c r="I431" i="1"/>
  <c r="H431" i="1"/>
  <c r="G431" i="1"/>
  <c r="F431" i="1"/>
  <c r="C431" i="1"/>
  <c r="U430" i="1"/>
  <c r="V186" i="1" s="1"/>
  <c r="S430" i="1"/>
  <c r="R430" i="1"/>
  <c r="Q430" i="1"/>
  <c r="Q429" i="1" s="1"/>
  <c r="P430" i="1"/>
  <c r="O430" i="1"/>
  <c r="O429" i="1" s="1"/>
  <c r="N430" i="1"/>
  <c r="M430" i="1"/>
  <c r="M429" i="1" s="1"/>
  <c r="L430" i="1"/>
  <c r="L429" i="1" s="1"/>
  <c r="K430" i="1"/>
  <c r="K429" i="1" s="1"/>
  <c r="J430" i="1"/>
  <c r="I430" i="1"/>
  <c r="I429" i="1" s="1"/>
  <c r="H430" i="1"/>
  <c r="H429" i="1" s="1"/>
  <c r="G430" i="1"/>
  <c r="F430" i="1"/>
  <c r="E430" i="1"/>
  <c r="C430" i="1"/>
  <c r="D186" i="1" s="1"/>
  <c r="R429" i="1"/>
  <c r="P429" i="1"/>
  <c r="N429" i="1"/>
  <c r="J429" i="1"/>
  <c r="G429" i="1"/>
  <c r="F429" i="1"/>
  <c r="U428" i="1"/>
  <c r="S428" i="1"/>
  <c r="R428" i="1"/>
  <c r="R425" i="1" s="1"/>
  <c r="Q428" i="1"/>
  <c r="O428" i="1"/>
  <c r="N428" i="1"/>
  <c r="M428" i="1"/>
  <c r="K428" i="1"/>
  <c r="J428" i="1"/>
  <c r="I428" i="1"/>
  <c r="H428" i="1"/>
  <c r="G428" i="1"/>
  <c r="C428" i="1"/>
  <c r="D184" i="1" s="1"/>
  <c r="U427" i="1"/>
  <c r="T427" i="1"/>
  <c r="S427" i="1"/>
  <c r="R427" i="1"/>
  <c r="Q427" i="1"/>
  <c r="P427" i="1"/>
  <c r="O427" i="1"/>
  <c r="N427" i="1"/>
  <c r="M427" i="1"/>
  <c r="K427" i="1"/>
  <c r="J427" i="1"/>
  <c r="J425" i="1" s="1"/>
  <c r="I427" i="1"/>
  <c r="H427" i="1"/>
  <c r="G427" i="1"/>
  <c r="F427" i="1"/>
  <c r="E427" i="1"/>
  <c r="C427" i="1"/>
  <c r="D183" i="1" s="1"/>
  <c r="D132" i="2" s="1"/>
  <c r="D181" i="2" s="1"/>
  <c r="U426" i="1"/>
  <c r="S426" i="1"/>
  <c r="S425" i="1" s="1"/>
  <c r="R426" i="1"/>
  <c r="Q426" i="1"/>
  <c r="Q425" i="1" s="1"/>
  <c r="P426" i="1"/>
  <c r="O426" i="1"/>
  <c r="O425" i="1" s="1"/>
  <c r="N426" i="1"/>
  <c r="M426" i="1"/>
  <c r="M425" i="1" s="1"/>
  <c r="L426" i="1"/>
  <c r="K426" i="1"/>
  <c r="J426" i="1"/>
  <c r="I426" i="1"/>
  <c r="H426" i="1"/>
  <c r="H425" i="1" s="1"/>
  <c r="G426" i="1"/>
  <c r="G425" i="1" s="1"/>
  <c r="F426" i="1"/>
  <c r="C426" i="1"/>
  <c r="C425" i="1" s="1"/>
  <c r="N425" i="1"/>
  <c r="K425" i="1"/>
  <c r="I425" i="1"/>
  <c r="U424" i="1"/>
  <c r="V180" i="1" s="1"/>
  <c r="T424" i="1"/>
  <c r="Q424" i="1"/>
  <c r="P424" i="1"/>
  <c r="O424" i="1"/>
  <c r="N424" i="1"/>
  <c r="M424" i="1"/>
  <c r="L424" i="1"/>
  <c r="K424" i="1"/>
  <c r="J424" i="1"/>
  <c r="I424" i="1"/>
  <c r="H424" i="1"/>
  <c r="G424" i="1"/>
  <c r="F424" i="1"/>
  <c r="E424" i="1"/>
  <c r="D424" i="1"/>
  <c r="C424" i="1"/>
  <c r="U423" i="1"/>
  <c r="V179" i="1" s="1"/>
  <c r="T423" i="1"/>
  <c r="S423" i="1"/>
  <c r="R423" i="1"/>
  <c r="Q423" i="1"/>
  <c r="P423" i="1"/>
  <c r="O423" i="1"/>
  <c r="N423" i="1"/>
  <c r="M423" i="1"/>
  <c r="L423" i="1"/>
  <c r="K423" i="1"/>
  <c r="J423" i="1"/>
  <c r="I423" i="1"/>
  <c r="H423" i="1"/>
  <c r="G423" i="1"/>
  <c r="F423" i="1"/>
  <c r="E423" i="1"/>
  <c r="D423" i="1"/>
  <c r="C423" i="1"/>
  <c r="U422" i="1"/>
  <c r="V178" i="1" s="1"/>
  <c r="V127" i="2" s="1"/>
  <c r="T422" i="1"/>
  <c r="S422" i="1"/>
  <c r="R422" i="1"/>
  <c r="P422" i="1"/>
  <c r="O422" i="1"/>
  <c r="N422" i="1"/>
  <c r="M422" i="1"/>
  <c r="L422" i="1"/>
  <c r="K422" i="1"/>
  <c r="J422" i="1"/>
  <c r="I422" i="1"/>
  <c r="H422" i="1"/>
  <c r="G422" i="1"/>
  <c r="F422" i="1"/>
  <c r="E422" i="1"/>
  <c r="D422" i="1"/>
  <c r="C422" i="1"/>
  <c r="U421" i="1"/>
  <c r="T421" i="1"/>
  <c r="S421" i="1"/>
  <c r="R421" i="1"/>
  <c r="Q421" i="1"/>
  <c r="P421" i="1"/>
  <c r="O421" i="1"/>
  <c r="N421" i="1"/>
  <c r="M421" i="1"/>
  <c r="L421" i="1"/>
  <c r="K421" i="1"/>
  <c r="J421" i="1"/>
  <c r="I421" i="1"/>
  <c r="H421" i="1"/>
  <c r="G421" i="1"/>
  <c r="F421" i="1"/>
  <c r="E421" i="1"/>
  <c r="D421" i="1"/>
  <c r="C421" i="1"/>
  <c r="U420" i="1"/>
  <c r="V176" i="1" s="1"/>
  <c r="T420" i="1"/>
  <c r="S420" i="1"/>
  <c r="R420" i="1"/>
  <c r="P420" i="1"/>
  <c r="O420" i="1"/>
  <c r="N420" i="1"/>
  <c r="M420" i="1"/>
  <c r="L420" i="1"/>
  <c r="K420" i="1"/>
  <c r="J420" i="1"/>
  <c r="I420" i="1"/>
  <c r="H420" i="1"/>
  <c r="G420" i="1"/>
  <c r="F420" i="1"/>
  <c r="E420" i="1"/>
  <c r="D420" i="1"/>
  <c r="C420" i="1"/>
  <c r="S419" i="1"/>
  <c r="Q419" i="1"/>
  <c r="P419" i="1"/>
  <c r="O419" i="1"/>
  <c r="N419" i="1"/>
  <c r="L419" i="1"/>
  <c r="K419" i="1"/>
  <c r="J419" i="1"/>
  <c r="I419" i="1"/>
  <c r="H419" i="1"/>
  <c r="G419" i="1"/>
  <c r="F419" i="1"/>
  <c r="E419" i="1"/>
  <c r="D419" i="1"/>
  <c r="C419" i="1"/>
  <c r="U418" i="1"/>
  <c r="V174" i="1" s="1"/>
  <c r="T418" i="1"/>
  <c r="S418" i="1"/>
  <c r="R418" i="1"/>
  <c r="Q418" i="1"/>
  <c r="O418" i="1"/>
  <c r="N418" i="1"/>
  <c r="M418" i="1"/>
  <c r="L418" i="1"/>
  <c r="K418" i="1"/>
  <c r="J418" i="1"/>
  <c r="I418" i="1"/>
  <c r="H418" i="1"/>
  <c r="G418" i="1"/>
  <c r="F418" i="1"/>
  <c r="E418" i="1"/>
  <c r="D418" i="1"/>
  <c r="C418" i="1"/>
  <c r="U417" i="1"/>
  <c r="V173" i="1" s="1"/>
  <c r="T417" i="1"/>
  <c r="S417" i="1"/>
  <c r="R417" i="1"/>
  <c r="Q417" i="1"/>
  <c r="P417" i="1"/>
  <c r="O417" i="1"/>
  <c r="N417" i="1"/>
  <c r="L417" i="1"/>
  <c r="K417" i="1"/>
  <c r="J417" i="1"/>
  <c r="I417" i="1"/>
  <c r="H417" i="1"/>
  <c r="G417" i="1"/>
  <c r="F417" i="1"/>
  <c r="E417" i="1"/>
  <c r="D417" i="1"/>
  <c r="C417" i="1"/>
  <c r="U416" i="1"/>
  <c r="V172" i="1" s="1"/>
  <c r="T416" i="1"/>
  <c r="S416" i="1"/>
  <c r="R416" i="1"/>
  <c r="Q416" i="1"/>
  <c r="P416" i="1"/>
  <c r="O416" i="1"/>
  <c r="N416" i="1"/>
  <c r="M416" i="1"/>
  <c r="L416" i="1"/>
  <c r="K416" i="1"/>
  <c r="J416" i="1"/>
  <c r="I416" i="1"/>
  <c r="H416" i="1"/>
  <c r="G416" i="1"/>
  <c r="F416" i="1"/>
  <c r="E416" i="1"/>
  <c r="D416" i="1"/>
  <c r="C416" i="1"/>
  <c r="U415" i="1"/>
  <c r="S415" i="1"/>
  <c r="R415" i="1"/>
  <c r="Q415" i="1"/>
  <c r="P415" i="1"/>
  <c r="O415" i="1"/>
  <c r="M415" i="1"/>
  <c r="L415" i="1"/>
  <c r="K415" i="1"/>
  <c r="J415" i="1"/>
  <c r="I415" i="1"/>
  <c r="H415" i="1"/>
  <c r="G415" i="1"/>
  <c r="F415" i="1"/>
  <c r="E415" i="1"/>
  <c r="D415" i="1"/>
  <c r="D413" i="1" s="1"/>
  <c r="C415" i="1"/>
  <c r="C413" i="1" s="1"/>
  <c r="U414" i="1"/>
  <c r="V170" i="1" s="1"/>
  <c r="V119" i="2" s="1"/>
  <c r="T414" i="1"/>
  <c r="S414" i="1"/>
  <c r="R414" i="1"/>
  <c r="Q414" i="1"/>
  <c r="M414" i="1"/>
  <c r="K414" i="1"/>
  <c r="J414" i="1"/>
  <c r="J413" i="1" s="1"/>
  <c r="I414" i="1"/>
  <c r="I413" i="1" s="1"/>
  <c r="I412" i="1" s="1"/>
  <c r="H414" i="1"/>
  <c r="G414" i="1"/>
  <c r="G413" i="1" s="1"/>
  <c r="F414" i="1"/>
  <c r="F413" i="1" s="1"/>
  <c r="E414" i="1"/>
  <c r="D414" i="1"/>
  <c r="C414" i="1"/>
  <c r="K413" i="1"/>
  <c r="K410" i="1" s="1"/>
  <c r="K1077" i="1" s="1"/>
  <c r="H413" i="1"/>
  <c r="H412" i="1" s="1"/>
  <c r="R406" i="1"/>
  <c r="R424" i="1" s="1"/>
  <c r="V397" i="1"/>
  <c r="U397" i="1"/>
  <c r="V396" i="1"/>
  <c r="V395" i="1" s="1"/>
  <c r="V394" i="1" s="1"/>
  <c r="U395" i="1"/>
  <c r="U394" i="1" s="1"/>
  <c r="T395" i="1"/>
  <c r="T394" i="1" s="1"/>
  <c r="S395" i="1"/>
  <c r="S394" i="1" s="1"/>
  <c r="R395" i="1"/>
  <c r="R394" i="1" s="1"/>
  <c r="Q395" i="1"/>
  <c r="Q394" i="1" s="1"/>
  <c r="P395" i="1"/>
  <c r="O395" i="1"/>
  <c r="N395" i="1"/>
  <c r="N394" i="1" s="1"/>
  <c r="M395" i="1"/>
  <c r="M394" i="1" s="1"/>
  <c r="L395" i="1"/>
  <c r="L394" i="1" s="1"/>
  <c r="K395" i="1"/>
  <c r="K394" i="1" s="1"/>
  <c r="J395" i="1"/>
  <c r="I395" i="1"/>
  <c r="H395" i="1"/>
  <c r="G395" i="1"/>
  <c r="G394" i="1" s="1"/>
  <c r="F395" i="1"/>
  <c r="F394" i="1" s="1"/>
  <c r="E395" i="1"/>
  <c r="E394" i="1" s="1"/>
  <c r="D395" i="1"/>
  <c r="D394" i="1" s="1"/>
  <c r="C395" i="1"/>
  <c r="P394" i="1"/>
  <c r="O394" i="1"/>
  <c r="J394" i="1"/>
  <c r="I394" i="1"/>
  <c r="H394" i="1"/>
  <c r="C394" i="1"/>
  <c r="U389" i="1"/>
  <c r="T389" i="1"/>
  <c r="T454" i="1" s="1"/>
  <c r="S389" i="1"/>
  <c r="S454" i="1" s="1"/>
  <c r="R389" i="1"/>
  <c r="R454" i="1" s="1"/>
  <c r="Q389" i="1"/>
  <c r="P389" i="1"/>
  <c r="P454" i="1" s="1"/>
  <c r="M389" i="1"/>
  <c r="L389" i="1"/>
  <c r="L454" i="1" s="1"/>
  <c r="K389" i="1"/>
  <c r="J389" i="1"/>
  <c r="J454" i="1" s="1"/>
  <c r="I389" i="1"/>
  <c r="H389" i="1"/>
  <c r="H454" i="1" s="1"/>
  <c r="G389" i="1"/>
  <c r="F389" i="1"/>
  <c r="F454" i="1" s="1"/>
  <c r="E389" i="1"/>
  <c r="D389" i="1"/>
  <c r="D454" i="1" s="1"/>
  <c r="C389" i="1"/>
  <c r="P384" i="1"/>
  <c r="P449" i="1" s="1"/>
  <c r="V381" i="1"/>
  <c r="U381" i="1"/>
  <c r="T381" i="1"/>
  <c r="S381" i="1"/>
  <c r="R381" i="1"/>
  <c r="Q381" i="1"/>
  <c r="O381" i="1"/>
  <c r="O344" i="1" s="1"/>
  <c r="N381" i="1"/>
  <c r="M381" i="1"/>
  <c r="L381" i="1"/>
  <c r="K381" i="1"/>
  <c r="K344" i="1" s="1"/>
  <c r="J381" i="1"/>
  <c r="I381" i="1"/>
  <c r="H381" i="1"/>
  <c r="G381" i="1"/>
  <c r="F381" i="1"/>
  <c r="E381" i="1"/>
  <c r="D381" i="1"/>
  <c r="C381" i="1"/>
  <c r="L380" i="1"/>
  <c r="L445" i="1" s="1"/>
  <c r="V369" i="1"/>
  <c r="U369" i="1"/>
  <c r="T369" i="1"/>
  <c r="S369" i="1"/>
  <c r="R369" i="1"/>
  <c r="Q369" i="1"/>
  <c r="P369" i="1"/>
  <c r="O369" i="1"/>
  <c r="N369" i="1"/>
  <c r="M369" i="1"/>
  <c r="L369" i="1"/>
  <c r="K369" i="1"/>
  <c r="J369" i="1"/>
  <c r="I369" i="1"/>
  <c r="H369" i="1"/>
  <c r="G369" i="1"/>
  <c r="F369" i="1"/>
  <c r="E369" i="1"/>
  <c r="D369" i="1"/>
  <c r="C369" i="1"/>
  <c r="V367" i="1"/>
  <c r="U367" i="1"/>
  <c r="T367" i="1"/>
  <c r="S367" i="1"/>
  <c r="R367" i="1"/>
  <c r="Q367" i="1"/>
  <c r="P367" i="1"/>
  <c r="O367" i="1"/>
  <c r="N367" i="1"/>
  <c r="M367" i="1"/>
  <c r="L367" i="1"/>
  <c r="K367" i="1"/>
  <c r="J367" i="1"/>
  <c r="I367" i="1"/>
  <c r="H367" i="1"/>
  <c r="G367" i="1"/>
  <c r="F367" i="1"/>
  <c r="E367" i="1"/>
  <c r="D367" i="1"/>
  <c r="C367" i="1"/>
  <c r="V364" i="1"/>
  <c r="U364" i="1"/>
  <c r="T364" i="1"/>
  <c r="S364" i="1"/>
  <c r="R364" i="1"/>
  <c r="Q364" i="1"/>
  <c r="P364" i="1"/>
  <c r="O364" i="1"/>
  <c r="N364" i="1"/>
  <c r="M364" i="1"/>
  <c r="L364" i="1"/>
  <c r="K364" i="1"/>
  <c r="J364" i="1"/>
  <c r="I364" i="1"/>
  <c r="H364" i="1"/>
  <c r="G364" i="1"/>
  <c r="F364" i="1"/>
  <c r="E364" i="1"/>
  <c r="D364" i="1"/>
  <c r="C364" i="1"/>
  <c r="V360" i="1"/>
  <c r="U360" i="1"/>
  <c r="T360" i="1"/>
  <c r="S360" i="1"/>
  <c r="R360" i="1"/>
  <c r="Q360" i="1"/>
  <c r="Q347" i="1" s="1"/>
  <c r="P360" i="1"/>
  <c r="P347" i="1" s="1"/>
  <c r="O360" i="1"/>
  <c r="N360" i="1"/>
  <c r="N347" i="1" s="1"/>
  <c r="M360" i="1"/>
  <c r="L360" i="1"/>
  <c r="K360" i="1"/>
  <c r="J360" i="1"/>
  <c r="I360" i="1"/>
  <c r="H360" i="1"/>
  <c r="H347" i="1" s="1"/>
  <c r="G360" i="1"/>
  <c r="F360" i="1"/>
  <c r="F347" i="1" s="1"/>
  <c r="E360" i="1"/>
  <c r="D360" i="1"/>
  <c r="C360" i="1"/>
  <c r="V350" i="1"/>
  <c r="V415" i="1" s="1"/>
  <c r="U348" i="1"/>
  <c r="U345" i="1" s="1"/>
  <c r="T348" i="1"/>
  <c r="T347" i="1" s="1"/>
  <c r="S348" i="1"/>
  <c r="R348" i="1"/>
  <c r="R347" i="1" s="1"/>
  <c r="Q348" i="1"/>
  <c r="Q345" i="1" s="1"/>
  <c r="P348" i="1"/>
  <c r="O348" i="1"/>
  <c r="N348" i="1"/>
  <c r="N345" i="1" s="1"/>
  <c r="M348" i="1"/>
  <c r="M347" i="1" s="1"/>
  <c r="L348" i="1"/>
  <c r="L347" i="1" s="1"/>
  <c r="K348" i="1"/>
  <c r="J348" i="1"/>
  <c r="J347" i="1" s="1"/>
  <c r="I348" i="1"/>
  <c r="I345" i="1" s="1"/>
  <c r="H348" i="1"/>
  <c r="H345" i="1" s="1"/>
  <c r="G348" i="1"/>
  <c r="F348" i="1"/>
  <c r="E348" i="1"/>
  <c r="E347" i="1" s="1"/>
  <c r="D348" i="1"/>
  <c r="D347" i="1" s="1"/>
  <c r="C348" i="1"/>
  <c r="S347" i="1"/>
  <c r="O347" i="1"/>
  <c r="K347" i="1"/>
  <c r="G347" i="1"/>
  <c r="C347" i="1"/>
  <c r="S346" i="1"/>
  <c r="O346" i="1"/>
  <c r="K346" i="1"/>
  <c r="I346" i="1"/>
  <c r="I344" i="1" s="1"/>
  <c r="G346" i="1"/>
  <c r="C346" i="1"/>
  <c r="S345" i="1"/>
  <c r="P345" i="1"/>
  <c r="O345" i="1"/>
  <c r="L345" i="1"/>
  <c r="K345" i="1"/>
  <c r="G345" i="1"/>
  <c r="F345" i="1"/>
  <c r="C345" i="1"/>
  <c r="V341" i="1"/>
  <c r="U341" i="1"/>
  <c r="T341" i="1"/>
  <c r="S341" i="1"/>
  <c r="R341" i="1"/>
  <c r="Q341" i="1"/>
  <c r="P341" i="1"/>
  <c r="O341" i="1"/>
  <c r="N341" i="1"/>
  <c r="M341" i="1"/>
  <c r="L341" i="1"/>
  <c r="L322" i="1" s="1"/>
  <c r="K341" i="1"/>
  <c r="J341" i="1"/>
  <c r="I341" i="1"/>
  <c r="H341" i="1"/>
  <c r="G341" i="1"/>
  <c r="F341" i="1"/>
  <c r="E341" i="1"/>
  <c r="D341" i="1"/>
  <c r="C341" i="1"/>
  <c r="V337" i="1"/>
  <c r="U337" i="1"/>
  <c r="T337" i="1"/>
  <c r="S337" i="1"/>
  <c r="R337" i="1"/>
  <c r="Q337" i="1"/>
  <c r="P337" i="1"/>
  <c r="P322" i="1" s="1"/>
  <c r="O337" i="1"/>
  <c r="N337" i="1"/>
  <c r="M337" i="1"/>
  <c r="L337" i="1"/>
  <c r="K337" i="1"/>
  <c r="K322" i="1" s="1"/>
  <c r="J337" i="1"/>
  <c r="I337" i="1"/>
  <c r="H337" i="1"/>
  <c r="G337" i="1"/>
  <c r="F337" i="1"/>
  <c r="E337" i="1"/>
  <c r="D337" i="1"/>
  <c r="C337" i="1"/>
  <c r="V325" i="1"/>
  <c r="V324" i="1" s="1"/>
  <c r="U325" i="1"/>
  <c r="T325" i="1"/>
  <c r="T322" i="1" s="1"/>
  <c r="S325" i="1"/>
  <c r="S322" i="1" s="1"/>
  <c r="R325" i="1"/>
  <c r="R323" i="1" s="1"/>
  <c r="Q325" i="1"/>
  <c r="Q322" i="1" s="1"/>
  <c r="P325" i="1"/>
  <c r="O325" i="1"/>
  <c r="O324" i="1" s="1"/>
  <c r="N325" i="1"/>
  <c r="N324" i="1" s="1"/>
  <c r="M325" i="1"/>
  <c r="L325" i="1"/>
  <c r="L324" i="1" s="1"/>
  <c r="K325" i="1"/>
  <c r="K323" i="1" s="1"/>
  <c r="J325" i="1"/>
  <c r="J323" i="1" s="1"/>
  <c r="I325" i="1"/>
  <c r="I324" i="1" s="1"/>
  <c r="H325" i="1"/>
  <c r="G325" i="1"/>
  <c r="G323" i="1" s="1"/>
  <c r="F325" i="1"/>
  <c r="F322" i="1" s="1"/>
  <c r="E325" i="1"/>
  <c r="D325" i="1"/>
  <c r="D324" i="1" s="1"/>
  <c r="C325" i="1"/>
  <c r="C324" i="1" s="1"/>
  <c r="U324" i="1"/>
  <c r="S324" i="1"/>
  <c r="M324" i="1"/>
  <c r="E324" i="1"/>
  <c r="V323" i="1"/>
  <c r="U323" i="1"/>
  <c r="Q323" i="1"/>
  <c r="P323" i="1"/>
  <c r="N323" i="1"/>
  <c r="M323" i="1"/>
  <c r="I323" i="1"/>
  <c r="H323" i="1"/>
  <c r="F323" i="1"/>
  <c r="E323" i="1"/>
  <c r="U322" i="1"/>
  <c r="R322" i="1"/>
  <c r="M322" i="1"/>
  <c r="H322" i="1"/>
  <c r="E322" i="1"/>
  <c r="C322" i="1"/>
  <c r="V319" i="1"/>
  <c r="U319" i="1"/>
  <c r="T319" i="1"/>
  <c r="S319" i="1"/>
  <c r="R319" i="1"/>
  <c r="Q319" i="1"/>
  <c r="P319" i="1"/>
  <c r="O319" i="1"/>
  <c r="N319" i="1"/>
  <c r="M319" i="1"/>
  <c r="L319" i="1"/>
  <c r="K319" i="1"/>
  <c r="J319" i="1"/>
  <c r="I319" i="1"/>
  <c r="H319" i="1"/>
  <c r="G319" i="1"/>
  <c r="F319" i="1"/>
  <c r="E319" i="1"/>
  <c r="D319" i="1"/>
  <c r="C319" i="1"/>
  <c r="V318" i="1"/>
  <c r="U318" i="1"/>
  <c r="U458" i="1" s="1"/>
  <c r="V214" i="1" s="1"/>
  <c r="S318" i="1"/>
  <c r="R318" i="1"/>
  <c r="O318" i="1"/>
  <c r="N318" i="1"/>
  <c r="P312" i="1"/>
  <c r="P156" i="2" s="1"/>
  <c r="P205" i="2" s="1"/>
  <c r="P311" i="1"/>
  <c r="P306" i="1" s="1"/>
  <c r="U309" i="1"/>
  <c r="V308" i="1"/>
  <c r="V307" i="1"/>
  <c r="V306" i="1" s="1"/>
  <c r="U307" i="1"/>
  <c r="U306" i="1"/>
  <c r="T306" i="1"/>
  <c r="S306" i="1"/>
  <c r="R306" i="1"/>
  <c r="Q306" i="1"/>
  <c r="O306" i="1"/>
  <c r="N306" i="1"/>
  <c r="M306" i="1"/>
  <c r="L306" i="1"/>
  <c r="K306" i="1"/>
  <c r="J306" i="1"/>
  <c r="I306" i="1"/>
  <c r="H306" i="1"/>
  <c r="G306" i="1"/>
  <c r="F306" i="1"/>
  <c r="E306" i="1"/>
  <c r="D306" i="1"/>
  <c r="C306" i="1"/>
  <c r="S299" i="1"/>
  <c r="T298" i="1"/>
  <c r="P298" i="1"/>
  <c r="T297" i="1"/>
  <c r="P297" i="1"/>
  <c r="I297" i="1"/>
  <c r="I294" i="1" s="1"/>
  <c r="F297" i="1"/>
  <c r="V294" i="1"/>
  <c r="U294" i="1"/>
  <c r="T294" i="1"/>
  <c r="S294" i="1"/>
  <c r="R294" i="1"/>
  <c r="Q294" i="1"/>
  <c r="P294" i="1"/>
  <c r="O294" i="1"/>
  <c r="N294" i="1"/>
  <c r="M294" i="1"/>
  <c r="M269" i="1" s="1"/>
  <c r="L294" i="1"/>
  <c r="K294" i="1"/>
  <c r="J294" i="1"/>
  <c r="H294" i="1"/>
  <c r="G294" i="1"/>
  <c r="F294" i="1"/>
  <c r="E294" i="1"/>
  <c r="D294" i="1"/>
  <c r="C294" i="1"/>
  <c r="V293" i="1"/>
  <c r="V292" i="1" s="1"/>
  <c r="U292" i="1"/>
  <c r="T292" i="1"/>
  <c r="S292" i="1"/>
  <c r="R292" i="1"/>
  <c r="Q292" i="1"/>
  <c r="P292" i="1"/>
  <c r="O292" i="1"/>
  <c r="N292" i="1"/>
  <c r="M292" i="1"/>
  <c r="L292" i="1"/>
  <c r="K292" i="1"/>
  <c r="J292" i="1"/>
  <c r="I292" i="1"/>
  <c r="H292" i="1"/>
  <c r="G292" i="1"/>
  <c r="F292" i="1"/>
  <c r="E292" i="1"/>
  <c r="D292" i="1"/>
  <c r="C292" i="1"/>
  <c r="V291" i="1"/>
  <c r="S291" i="1"/>
  <c r="S289" i="1" s="1"/>
  <c r="T290" i="1"/>
  <c r="V289" i="1"/>
  <c r="U289" i="1"/>
  <c r="T289" i="1"/>
  <c r="R289" i="1"/>
  <c r="Q289" i="1"/>
  <c r="P289" i="1"/>
  <c r="O289" i="1"/>
  <c r="N289" i="1"/>
  <c r="M289" i="1"/>
  <c r="L289" i="1"/>
  <c r="K289" i="1"/>
  <c r="J289" i="1"/>
  <c r="I289" i="1"/>
  <c r="H289" i="1"/>
  <c r="H272" i="1" s="1"/>
  <c r="G289" i="1"/>
  <c r="F289" i="1"/>
  <c r="E289" i="1"/>
  <c r="D289" i="1"/>
  <c r="C289" i="1"/>
  <c r="U288" i="1"/>
  <c r="T288" i="1"/>
  <c r="P288" i="1"/>
  <c r="P285" i="1" s="1"/>
  <c r="L288" i="1"/>
  <c r="F288" i="1"/>
  <c r="F270" i="1" s="1"/>
  <c r="L287" i="1"/>
  <c r="I287" i="1"/>
  <c r="E287" i="1"/>
  <c r="T286" i="1"/>
  <c r="T285" i="1" s="1"/>
  <c r="V285" i="1"/>
  <c r="U285" i="1"/>
  <c r="S285" i="1"/>
  <c r="R285" i="1"/>
  <c r="Q285" i="1"/>
  <c r="O285" i="1"/>
  <c r="N285" i="1"/>
  <c r="M285" i="1"/>
  <c r="L285" i="1"/>
  <c r="K285" i="1"/>
  <c r="K269" i="1" s="1"/>
  <c r="J285" i="1"/>
  <c r="I285" i="1"/>
  <c r="I271" i="1" s="1"/>
  <c r="H285" i="1"/>
  <c r="G285" i="1"/>
  <c r="G272" i="1" s="1"/>
  <c r="E285" i="1"/>
  <c r="D285" i="1"/>
  <c r="C285" i="1"/>
  <c r="C269" i="1" s="1"/>
  <c r="S284" i="1"/>
  <c r="Q282" i="1"/>
  <c r="Q281" i="1"/>
  <c r="Q280" i="1"/>
  <c r="V279" i="1"/>
  <c r="U279" i="1"/>
  <c r="U419" i="1" s="1"/>
  <c r="V175" i="1" s="1"/>
  <c r="T279" i="1"/>
  <c r="T124" i="2" s="1"/>
  <c r="R279" i="1"/>
  <c r="R273" i="1" s="1"/>
  <c r="M279" i="1"/>
  <c r="P278" i="1"/>
  <c r="P123" i="2" s="1"/>
  <c r="M277" i="1"/>
  <c r="T275" i="1"/>
  <c r="T273" i="1" s="1"/>
  <c r="P275" i="1"/>
  <c r="N275" i="1"/>
  <c r="N120" i="2" s="1"/>
  <c r="M275" i="1"/>
  <c r="M120" i="2" s="1"/>
  <c r="U274" i="1"/>
  <c r="P274" i="1"/>
  <c r="O274" i="1"/>
  <c r="O119" i="2" s="1"/>
  <c r="N274" i="1"/>
  <c r="N119" i="2" s="1"/>
  <c r="L274" i="1"/>
  <c r="L414" i="1" s="1"/>
  <c r="V273" i="1"/>
  <c r="U273" i="1"/>
  <c r="U270" i="1" s="1"/>
  <c r="S273" i="1"/>
  <c r="Q273" i="1"/>
  <c r="Q271" i="1" s="1"/>
  <c r="M273" i="1"/>
  <c r="M272" i="1" s="1"/>
  <c r="K273" i="1"/>
  <c r="J273" i="1"/>
  <c r="J270" i="1" s="1"/>
  <c r="I273" i="1"/>
  <c r="H273" i="1"/>
  <c r="H270" i="1" s="1"/>
  <c r="G273" i="1"/>
  <c r="F273" i="1"/>
  <c r="E273" i="1"/>
  <c r="E270" i="1" s="1"/>
  <c r="D273" i="1"/>
  <c r="D272" i="1" s="1"/>
  <c r="C273" i="1"/>
  <c r="Q272" i="1"/>
  <c r="U271" i="1"/>
  <c r="K271" i="1"/>
  <c r="G271" i="1"/>
  <c r="Q270" i="1"/>
  <c r="K270" i="1"/>
  <c r="I270" i="1"/>
  <c r="G270" i="1"/>
  <c r="C270" i="1"/>
  <c r="U269" i="1"/>
  <c r="G269" i="1"/>
  <c r="V265" i="1"/>
  <c r="U265" i="1"/>
  <c r="T265" i="1"/>
  <c r="S265" i="1"/>
  <c r="R265" i="1"/>
  <c r="Q265" i="1"/>
  <c r="P265" i="1"/>
  <c r="O265" i="1"/>
  <c r="N265" i="1"/>
  <c r="M265" i="1"/>
  <c r="L265" i="1"/>
  <c r="K265" i="1"/>
  <c r="J265" i="1"/>
  <c r="I265" i="1"/>
  <c r="H265" i="1"/>
  <c r="G265" i="1"/>
  <c r="F265" i="1"/>
  <c r="E265" i="1"/>
  <c r="E219" i="1" s="1"/>
  <c r="D265" i="1"/>
  <c r="C265" i="1"/>
  <c r="C219" i="1" s="1"/>
  <c r="V252" i="1"/>
  <c r="V600" i="1" s="1"/>
  <c r="U252" i="1"/>
  <c r="U600" i="1" s="1"/>
  <c r="T252" i="1"/>
  <c r="T600" i="1" s="1"/>
  <c r="S252" i="1"/>
  <c r="S600" i="1" s="1"/>
  <c r="R252" i="1"/>
  <c r="R600" i="1" s="1"/>
  <c r="Q252" i="1"/>
  <c r="Q600" i="1" s="1"/>
  <c r="P252" i="1"/>
  <c r="P600" i="1" s="1"/>
  <c r="O252" i="1"/>
  <c r="O600" i="1" s="1"/>
  <c r="N252" i="1"/>
  <c r="N600" i="1" s="1"/>
  <c r="M252" i="1"/>
  <c r="M600" i="1" s="1"/>
  <c r="L252" i="1"/>
  <c r="L600" i="1" s="1"/>
  <c r="K252" i="1"/>
  <c r="K600" i="1" s="1"/>
  <c r="J252" i="1"/>
  <c r="J600" i="1" s="1"/>
  <c r="I252" i="1"/>
  <c r="I600" i="1" s="1"/>
  <c r="H252" i="1"/>
  <c r="H600" i="1" s="1"/>
  <c r="G252" i="1"/>
  <c r="G600" i="1" s="1"/>
  <c r="F252" i="1"/>
  <c r="F600" i="1" s="1"/>
  <c r="E252" i="1"/>
  <c r="E600" i="1" s="1"/>
  <c r="D252" i="1"/>
  <c r="D600" i="1" s="1"/>
  <c r="C252" i="1"/>
  <c r="C600" i="1" s="1"/>
  <c r="M246" i="1"/>
  <c r="V240" i="1"/>
  <c r="V599" i="1" s="1"/>
  <c r="U240" i="1"/>
  <c r="U599" i="1" s="1"/>
  <c r="T240" i="1"/>
  <c r="T599" i="1" s="1"/>
  <c r="S240" i="1"/>
  <c r="S599" i="1" s="1"/>
  <c r="R240" i="1"/>
  <c r="R599" i="1" s="1"/>
  <c r="Q240" i="1"/>
  <c r="Q599" i="1" s="1"/>
  <c r="P240" i="1"/>
  <c r="P599" i="1" s="1"/>
  <c r="O240" i="1"/>
  <c r="O599" i="1" s="1"/>
  <c r="N240" i="1"/>
  <c r="N599" i="1" s="1"/>
  <c r="M240" i="1"/>
  <c r="M599" i="1" s="1"/>
  <c r="L240" i="1"/>
  <c r="L599" i="1" s="1"/>
  <c r="K240" i="1"/>
  <c r="K599" i="1" s="1"/>
  <c r="J240" i="1"/>
  <c r="J599" i="1" s="1"/>
  <c r="I240" i="1"/>
  <c r="I599" i="1" s="1"/>
  <c r="H240" i="1"/>
  <c r="H599" i="1" s="1"/>
  <c r="G240" i="1"/>
  <c r="G599" i="1" s="1"/>
  <c r="F240" i="1"/>
  <c r="F599" i="1" s="1"/>
  <c r="E240" i="1"/>
  <c r="E599" i="1" s="1"/>
  <c r="D240" i="1"/>
  <c r="D599" i="1" s="1"/>
  <c r="C240" i="1"/>
  <c r="C599" i="1" s="1"/>
  <c r="V238" i="1"/>
  <c r="U238" i="1"/>
  <c r="T238" i="1"/>
  <c r="S238" i="1"/>
  <c r="R238" i="1"/>
  <c r="Q238" i="1"/>
  <c r="Q216" i="1" s="1"/>
  <c r="P238" i="1"/>
  <c r="P216" i="1" s="1"/>
  <c r="O238" i="1"/>
  <c r="N238" i="1"/>
  <c r="N216" i="1" s="1"/>
  <c r="M238" i="1"/>
  <c r="L238" i="1"/>
  <c r="K238" i="1"/>
  <c r="J238" i="1"/>
  <c r="I238" i="1"/>
  <c r="H238" i="1"/>
  <c r="G238" i="1"/>
  <c r="F238" i="1"/>
  <c r="F216" i="1" s="1"/>
  <c r="E238" i="1"/>
  <c r="D238" i="1"/>
  <c r="C238" i="1"/>
  <c r="V235" i="1"/>
  <c r="U235" i="1"/>
  <c r="T235" i="1"/>
  <c r="S235" i="1"/>
  <c r="R235" i="1"/>
  <c r="Q235" i="1"/>
  <c r="P235" i="1"/>
  <c r="O235" i="1"/>
  <c r="N235" i="1"/>
  <c r="M235" i="1"/>
  <c r="L235" i="1"/>
  <c r="K235" i="1"/>
  <c r="J235" i="1"/>
  <c r="I235" i="1"/>
  <c r="H235" i="1"/>
  <c r="G235" i="1"/>
  <c r="F235" i="1"/>
  <c r="E235" i="1"/>
  <c r="D235" i="1"/>
  <c r="C235" i="1"/>
  <c r="V231" i="1"/>
  <c r="V217" i="1" s="1"/>
  <c r="U231" i="1"/>
  <c r="T231" i="1"/>
  <c r="S231" i="1"/>
  <c r="R231" i="1"/>
  <c r="Q231" i="1"/>
  <c r="Q218" i="1" s="1"/>
  <c r="P231" i="1"/>
  <c r="O231" i="1"/>
  <c r="N231" i="1"/>
  <c r="N215" i="1" s="1"/>
  <c r="M231" i="1"/>
  <c r="L231" i="1"/>
  <c r="K231" i="1"/>
  <c r="J231" i="1"/>
  <c r="I231" i="1"/>
  <c r="I218" i="1" s="1"/>
  <c r="H231" i="1"/>
  <c r="H218" i="1" s="1"/>
  <c r="G231" i="1"/>
  <c r="F231" i="1"/>
  <c r="F217" i="1" s="1"/>
  <c r="E231" i="1"/>
  <c r="D231" i="1"/>
  <c r="C231" i="1"/>
  <c r="V219" i="1"/>
  <c r="U219" i="1"/>
  <c r="U217" i="1" s="1"/>
  <c r="T219" i="1"/>
  <c r="T217" i="1" s="1"/>
  <c r="S219" i="1"/>
  <c r="R219" i="1"/>
  <c r="R218" i="1" s="1"/>
  <c r="Q219" i="1"/>
  <c r="P219" i="1"/>
  <c r="P218" i="1" s="1"/>
  <c r="O219" i="1"/>
  <c r="N219" i="1"/>
  <c r="M219" i="1"/>
  <c r="M218" i="1" s="1"/>
  <c r="L219" i="1"/>
  <c r="L218" i="1" s="1"/>
  <c r="K219" i="1"/>
  <c r="J219" i="1"/>
  <c r="J218" i="1" s="1"/>
  <c r="I219" i="1"/>
  <c r="H219" i="1"/>
  <c r="H215" i="1" s="1"/>
  <c r="G219" i="1"/>
  <c r="F219" i="1"/>
  <c r="D219" i="1"/>
  <c r="D215" i="1" s="1"/>
  <c r="T218" i="1"/>
  <c r="S218" i="1"/>
  <c r="O218" i="1"/>
  <c r="K218" i="1"/>
  <c r="G218" i="1"/>
  <c r="S217" i="1"/>
  <c r="O217" i="1"/>
  <c r="M217" i="1"/>
  <c r="L217" i="1"/>
  <c r="K217" i="1"/>
  <c r="J217" i="1"/>
  <c r="G217" i="1"/>
  <c r="V216" i="1"/>
  <c r="S216" i="1"/>
  <c r="O216" i="1"/>
  <c r="M216" i="1"/>
  <c r="L216" i="1"/>
  <c r="K216" i="1"/>
  <c r="H216" i="1"/>
  <c r="G216" i="1"/>
  <c r="J215" i="1"/>
  <c r="U214" i="1"/>
  <c r="S214" i="1"/>
  <c r="S163" i="2" s="1"/>
  <c r="R214" i="1"/>
  <c r="O214" i="1"/>
  <c r="O163" i="2" s="1"/>
  <c r="N214" i="1"/>
  <c r="N458" i="1" s="1"/>
  <c r="V213" i="1"/>
  <c r="V162" i="2" s="1"/>
  <c r="V211" i="2" s="1"/>
  <c r="V211" i="1"/>
  <c r="V160" i="2" s="1"/>
  <c r="V209" i="2" s="1"/>
  <c r="V209" i="1"/>
  <c r="V157" i="2" s="1"/>
  <c r="V207" i="1"/>
  <c r="V155" i="2" s="1"/>
  <c r="V204" i="2" s="1"/>
  <c r="P207" i="1"/>
  <c r="V206" i="1"/>
  <c r="V154" i="2" s="1"/>
  <c r="V203" i="2" s="1"/>
  <c r="U205" i="1"/>
  <c r="U153" i="2" s="1"/>
  <c r="U202" i="2" s="1"/>
  <c r="U204" i="1"/>
  <c r="U152" i="2" s="1"/>
  <c r="U201" i="2" s="1"/>
  <c r="U203" i="1"/>
  <c r="U151" i="2" s="1"/>
  <c r="T202" i="1"/>
  <c r="S202" i="1"/>
  <c r="R202" i="1"/>
  <c r="Q202" i="1"/>
  <c r="O202" i="1"/>
  <c r="N202" i="1"/>
  <c r="M202" i="1"/>
  <c r="L202" i="1"/>
  <c r="K202" i="1"/>
  <c r="J202" i="1"/>
  <c r="I202" i="1"/>
  <c r="H202" i="1"/>
  <c r="G202" i="1"/>
  <c r="F202" i="1"/>
  <c r="E202" i="1"/>
  <c r="D202" i="1"/>
  <c r="C202" i="1"/>
  <c r="V201" i="1"/>
  <c r="V149" i="2" s="1"/>
  <c r="V197" i="1"/>
  <c r="V145" i="2" s="1"/>
  <c r="V194" i="2" s="1"/>
  <c r="M196" i="1"/>
  <c r="M144" i="2" s="1"/>
  <c r="V195" i="1"/>
  <c r="V143" i="2" s="1"/>
  <c r="V192" i="2" s="1"/>
  <c r="S195" i="1"/>
  <c r="S143" i="2" s="1"/>
  <c r="T194" i="1"/>
  <c r="P194" i="1"/>
  <c r="P142" i="2" s="1"/>
  <c r="P191" i="2" s="1"/>
  <c r="T193" i="1"/>
  <c r="T141" i="2" s="1"/>
  <c r="P193" i="1"/>
  <c r="P141" i="2" s="1"/>
  <c r="I193" i="1"/>
  <c r="I141" i="2" s="1"/>
  <c r="I190" i="2" s="1"/>
  <c r="F193" i="1"/>
  <c r="F141" i="2" s="1"/>
  <c r="F190" i="2" s="1"/>
  <c r="U190" i="1"/>
  <c r="T190" i="1"/>
  <c r="R190" i="1"/>
  <c r="Q190" i="1"/>
  <c r="P190" i="1"/>
  <c r="O190" i="1"/>
  <c r="N190" i="1"/>
  <c r="M190" i="1"/>
  <c r="L190" i="1"/>
  <c r="K190" i="1"/>
  <c r="J190" i="1"/>
  <c r="H190" i="1"/>
  <c r="G190" i="1"/>
  <c r="F190" i="1"/>
  <c r="E190" i="1"/>
  <c r="D190" i="1"/>
  <c r="C190" i="1"/>
  <c r="V189" i="1"/>
  <c r="V137" i="2" s="1"/>
  <c r="U188" i="1"/>
  <c r="T188" i="1"/>
  <c r="S188" i="1"/>
  <c r="R188" i="1"/>
  <c r="Q188" i="1"/>
  <c r="P188" i="1"/>
  <c r="O188" i="1"/>
  <c r="N188" i="1"/>
  <c r="M188" i="1"/>
  <c r="L188" i="1"/>
  <c r="K188" i="1"/>
  <c r="J188" i="1"/>
  <c r="I188" i="1"/>
  <c r="H188" i="1"/>
  <c r="H168" i="1" s="1"/>
  <c r="G188" i="1"/>
  <c r="F188" i="1"/>
  <c r="E188" i="1"/>
  <c r="D188" i="1"/>
  <c r="C188" i="1"/>
  <c r="S187" i="1"/>
  <c r="S185" i="1" s="1"/>
  <c r="D187" i="1"/>
  <c r="D136" i="2" s="1"/>
  <c r="D185" i="2" s="1"/>
  <c r="T186" i="1"/>
  <c r="T135" i="2" s="1"/>
  <c r="U185" i="1"/>
  <c r="T185" i="1"/>
  <c r="R185" i="1"/>
  <c r="Q185" i="1"/>
  <c r="P185" i="1"/>
  <c r="O185" i="1"/>
  <c r="N185" i="1"/>
  <c r="N166" i="1" s="1"/>
  <c r="M185" i="1"/>
  <c r="L185" i="1"/>
  <c r="K185" i="1"/>
  <c r="J185" i="1"/>
  <c r="I185" i="1"/>
  <c r="H185" i="1"/>
  <c r="G185" i="1"/>
  <c r="F185" i="1"/>
  <c r="C185" i="1"/>
  <c r="V184" i="1"/>
  <c r="V133" i="2" s="1"/>
  <c r="U184" i="1"/>
  <c r="T184" i="1"/>
  <c r="T133" i="2" s="1"/>
  <c r="P184" i="1"/>
  <c r="P428" i="1" s="1"/>
  <c r="L184" i="1"/>
  <c r="L133" i="2" s="1"/>
  <c r="F184" i="1"/>
  <c r="F428" i="1" s="1"/>
  <c r="V183" i="1"/>
  <c r="V132" i="2" s="1"/>
  <c r="V181" i="2" s="1"/>
  <c r="L183" i="1"/>
  <c r="L132" i="2" s="1"/>
  <c r="I183" i="1"/>
  <c r="I132" i="2" s="1"/>
  <c r="E183" i="1"/>
  <c r="T182" i="1"/>
  <c r="T131" i="2" s="1"/>
  <c r="U181" i="1"/>
  <c r="S181" i="1"/>
  <c r="R181" i="1"/>
  <c r="Q181" i="1"/>
  <c r="P181" i="1"/>
  <c r="P168" i="1" s="1"/>
  <c r="O181" i="1"/>
  <c r="N181" i="1"/>
  <c r="M181" i="1"/>
  <c r="K181" i="1"/>
  <c r="J181" i="1"/>
  <c r="I181" i="1"/>
  <c r="H181" i="1"/>
  <c r="G181" i="1"/>
  <c r="G168" i="1" s="1"/>
  <c r="F181" i="1"/>
  <c r="C181" i="1"/>
  <c r="S180" i="1"/>
  <c r="S129" i="2" s="1"/>
  <c r="Q178" i="1"/>
  <c r="Q422" i="1" s="1"/>
  <c r="V177" i="1"/>
  <c r="V126" i="2" s="1"/>
  <c r="Q177" i="1"/>
  <c r="Q176" i="1"/>
  <c r="U175" i="1"/>
  <c r="R175" i="1"/>
  <c r="R124" i="2" s="1"/>
  <c r="M175" i="1"/>
  <c r="M124" i="2" s="1"/>
  <c r="M173" i="1"/>
  <c r="M122" i="2" s="1"/>
  <c r="T171" i="1"/>
  <c r="T120" i="2" s="1"/>
  <c r="P171" i="1"/>
  <c r="P120" i="2" s="1"/>
  <c r="U170" i="1"/>
  <c r="P170" i="1"/>
  <c r="P119" i="2" s="1"/>
  <c r="L170" i="1"/>
  <c r="U169" i="1"/>
  <c r="T169" i="1"/>
  <c r="R169" i="1"/>
  <c r="R167" i="1" s="1"/>
  <c r="Q169" i="1"/>
  <c r="Q167" i="1" s="1"/>
  <c r="P169" i="1"/>
  <c r="O169" i="1"/>
  <c r="O167" i="1" s="1"/>
  <c r="N169" i="1"/>
  <c r="L169" i="1"/>
  <c r="L167" i="1" s="1"/>
  <c r="K169" i="1"/>
  <c r="J169" i="1"/>
  <c r="I169" i="1"/>
  <c r="I168" i="1" s="1"/>
  <c r="H169" i="1"/>
  <c r="H166" i="1" s="1"/>
  <c r="G169" i="1"/>
  <c r="F169" i="1"/>
  <c r="F168" i="1" s="1"/>
  <c r="E169" i="1"/>
  <c r="D169" i="1"/>
  <c r="C169" i="1"/>
  <c r="N168" i="1"/>
  <c r="U167" i="1"/>
  <c r="T167" i="1"/>
  <c r="P167" i="1"/>
  <c r="N167" i="1"/>
  <c r="K167" i="1"/>
  <c r="J167" i="1"/>
  <c r="G167" i="1"/>
  <c r="C167" i="1"/>
  <c r="F166" i="1"/>
  <c r="C165" i="1"/>
  <c r="V148" i="1"/>
  <c r="U148" i="1"/>
  <c r="T148" i="1"/>
  <c r="S148" i="1"/>
  <c r="R148" i="1"/>
  <c r="Q148" i="1"/>
  <c r="P148" i="1"/>
  <c r="V138" i="1"/>
  <c r="U138" i="1"/>
  <c r="T138" i="1"/>
  <c r="S138" i="1"/>
  <c r="R138" i="1"/>
  <c r="Q138" i="1"/>
  <c r="P138" i="1"/>
  <c r="V131" i="1"/>
  <c r="U131" i="1"/>
  <c r="T131" i="1"/>
  <c r="S131" i="1"/>
  <c r="R131" i="1"/>
  <c r="Q131" i="1"/>
  <c r="P131" i="1"/>
  <c r="V125" i="1"/>
  <c r="U125" i="1"/>
  <c r="T125" i="1"/>
  <c r="S125" i="1"/>
  <c r="R125" i="1"/>
  <c r="Q125" i="1"/>
  <c r="P125" i="1"/>
  <c r="S121" i="1"/>
  <c r="S119" i="1" s="1"/>
  <c r="V119" i="1"/>
  <c r="U119" i="1"/>
  <c r="T119" i="1"/>
  <c r="R119" i="1"/>
  <c r="Q119" i="1"/>
  <c r="P119" i="1"/>
  <c r="U115" i="1"/>
  <c r="T115" i="1"/>
  <c r="T112" i="1" s="1"/>
  <c r="S115" i="1"/>
  <c r="R115" i="1"/>
  <c r="R112" i="1" s="1"/>
  <c r="Q115" i="1"/>
  <c r="P115" i="1"/>
  <c r="P112" i="1" s="1"/>
  <c r="V112" i="1"/>
  <c r="U112" i="1"/>
  <c r="S112" i="1"/>
  <c r="Q112" i="1"/>
  <c r="U107" i="1"/>
  <c r="U106" i="1" s="1"/>
  <c r="T107" i="1"/>
  <c r="S107" i="1"/>
  <c r="S106" i="1" s="1"/>
  <c r="R107" i="1"/>
  <c r="Q107" i="1"/>
  <c r="Q106" i="1" s="1"/>
  <c r="P107" i="1"/>
  <c r="V106" i="1"/>
  <c r="T106" i="1"/>
  <c r="R106" i="1"/>
  <c r="P106" i="1"/>
  <c r="V101" i="1"/>
  <c r="U101" i="1"/>
  <c r="T101" i="1"/>
  <c r="S101" i="1"/>
  <c r="R101" i="1"/>
  <c r="Q101" i="1"/>
  <c r="P101" i="1"/>
  <c r="O101" i="1"/>
  <c r="N101" i="1"/>
  <c r="M101" i="1"/>
  <c r="L101" i="1"/>
  <c r="K101" i="1"/>
  <c r="J101" i="1"/>
  <c r="I101" i="1"/>
  <c r="H101" i="1"/>
  <c r="G101" i="1"/>
  <c r="F101" i="1"/>
  <c r="E101" i="1"/>
  <c r="D101" i="1"/>
  <c r="C101" i="1"/>
  <c r="V96" i="1"/>
  <c r="V100" i="2" s="1"/>
  <c r="U96" i="1"/>
  <c r="U100" i="2" s="1"/>
  <c r="T96" i="1"/>
  <c r="T100" i="2" s="1"/>
  <c r="S96" i="1"/>
  <c r="S100" i="2" s="1"/>
  <c r="R96" i="1"/>
  <c r="R100" i="2" s="1"/>
  <c r="Q96" i="1"/>
  <c r="Q100" i="2" s="1"/>
  <c r="P96" i="1"/>
  <c r="P100" i="2" s="1"/>
  <c r="O96" i="1"/>
  <c r="O100" i="2" s="1"/>
  <c r="N96" i="1"/>
  <c r="N100" i="2" s="1"/>
  <c r="M96" i="1"/>
  <c r="M100" i="2" s="1"/>
  <c r="L96" i="1"/>
  <c r="L100" i="2" s="1"/>
  <c r="K96" i="1"/>
  <c r="K100" i="2" s="1"/>
  <c r="J96" i="1"/>
  <c r="J100" i="2" s="1"/>
  <c r="I96" i="1"/>
  <c r="I100" i="2" s="1"/>
  <c r="H96" i="1"/>
  <c r="H100" i="2" s="1"/>
  <c r="G96" i="1"/>
  <c r="G100" i="2" s="1"/>
  <c r="F96" i="1"/>
  <c r="F100" i="2" s="1"/>
  <c r="E96" i="1"/>
  <c r="E100" i="2" s="1"/>
  <c r="D96" i="1"/>
  <c r="D100" i="2" s="1"/>
  <c r="C96" i="1"/>
  <c r="C100" i="2" s="1"/>
  <c r="V89" i="1"/>
  <c r="V99" i="2" s="1"/>
  <c r="U89" i="1"/>
  <c r="U99" i="2" s="1"/>
  <c r="T89" i="1"/>
  <c r="T99" i="2" s="1"/>
  <c r="S89" i="1"/>
  <c r="S99" i="2" s="1"/>
  <c r="R89" i="1"/>
  <c r="R99" i="2" s="1"/>
  <c r="Q89" i="1"/>
  <c r="Q99" i="2" s="1"/>
  <c r="P89" i="1"/>
  <c r="P99" i="2" s="1"/>
  <c r="O89" i="1"/>
  <c r="O99" i="2" s="1"/>
  <c r="N89" i="1"/>
  <c r="N99" i="2" s="1"/>
  <c r="M89" i="1"/>
  <c r="M99" i="2" s="1"/>
  <c r="L89" i="1"/>
  <c r="L99" i="2" s="1"/>
  <c r="K89" i="1"/>
  <c r="K99" i="2" s="1"/>
  <c r="J89" i="1"/>
  <c r="J99" i="2" s="1"/>
  <c r="I89" i="1"/>
  <c r="I99" i="2" s="1"/>
  <c r="H89" i="1"/>
  <c r="H99" i="2" s="1"/>
  <c r="G89" i="1"/>
  <c r="G99" i="2" s="1"/>
  <c r="F89" i="1"/>
  <c r="F99" i="2" s="1"/>
  <c r="E89" i="1"/>
  <c r="E99" i="2" s="1"/>
  <c r="D89" i="1"/>
  <c r="D99" i="2" s="1"/>
  <c r="C89" i="1"/>
  <c r="C99" i="2" s="1"/>
  <c r="V84" i="1"/>
  <c r="V98" i="2" s="1"/>
  <c r="U84" i="1"/>
  <c r="U98" i="2" s="1"/>
  <c r="T84" i="1"/>
  <c r="T98" i="2" s="1"/>
  <c r="S84" i="1"/>
  <c r="S98" i="2" s="1"/>
  <c r="R84" i="1"/>
  <c r="R98" i="2" s="1"/>
  <c r="Q84" i="1"/>
  <c r="Q98" i="2" s="1"/>
  <c r="P84" i="1"/>
  <c r="P98" i="2" s="1"/>
  <c r="O84" i="1"/>
  <c r="O98" i="2" s="1"/>
  <c r="N84" i="1"/>
  <c r="N98" i="2" s="1"/>
  <c r="M84" i="1"/>
  <c r="M98" i="2" s="1"/>
  <c r="L84" i="1"/>
  <c r="L98" i="2" s="1"/>
  <c r="K84" i="1"/>
  <c r="K98" i="2" s="1"/>
  <c r="J84" i="1"/>
  <c r="J98" i="2" s="1"/>
  <c r="I84" i="1"/>
  <c r="I98" i="2" s="1"/>
  <c r="H84" i="1"/>
  <c r="H98" i="2" s="1"/>
  <c r="G84" i="1"/>
  <c r="G98" i="2" s="1"/>
  <c r="F84" i="1"/>
  <c r="F98" i="2" s="1"/>
  <c r="E84" i="1"/>
  <c r="E98" i="2" s="1"/>
  <c r="D84" i="1"/>
  <c r="D98" i="2" s="1"/>
  <c r="C84" i="1"/>
  <c r="C98" i="2" s="1"/>
  <c r="V79" i="1"/>
  <c r="V97" i="2" s="1"/>
  <c r="U79" i="1"/>
  <c r="U97" i="2" s="1"/>
  <c r="T79" i="1"/>
  <c r="T97" i="2" s="1"/>
  <c r="S79" i="1"/>
  <c r="S97" i="2" s="1"/>
  <c r="R79" i="1"/>
  <c r="R97" i="2" s="1"/>
  <c r="Q79" i="1"/>
  <c r="Q97" i="2" s="1"/>
  <c r="P79" i="1"/>
  <c r="P97" i="2" s="1"/>
  <c r="O79" i="1"/>
  <c r="O97" i="2" s="1"/>
  <c r="N79" i="1"/>
  <c r="N97" i="2" s="1"/>
  <c r="M79" i="1"/>
  <c r="M97" i="2" s="1"/>
  <c r="L79" i="1"/>
  <c r="L97" i="2" s="1"/>
  <c r="K79" i="1"/>
  <c r="K97" i="2" s="1"/>
  <c r="J79" i="1"/>
  <c r="J97" i="2" s="1"/>
  <c r="I79" i="1"/>
  <c r="I97" i="2" s="1"/>
  <c r="H79" i="1"/>
  <c r="H97" i="2" s="1"/>
  <c r="G79" i="1"/>
  <c r="G97" i="2" s="1"/>
  <c r="F79" i="1"/>
  <c r="F97" i="2" s="1"/>
  <c r="E79" i="1"/>
  <c r="E97" i="2" s="1"/>
  <c r="D79" i="1"/>
  <c r="D97" i="2" s="1"/>
  <c r="C79" i="1"/>
  <c r="C97" i="2" s="1"/>
  <c r="V76" i="1"/>
  <c r="U76" i="1"/>
  <c r="T76" i="1"/>
  <c r="S76" i="1"/>
  <c r="R76" i="1"/>
  <c r="Q76" i="1"/>
  <c r="P76" i="1"/>
  <c r="O76" i="1"/>
  <c r="N76" i="1"/>
  <c r="N72" i="1" s="1"/>
  <c r="M76" i="1"/>
  <c r="M72" i="1" s="1"/>
  <c r="L76" i="1"/>
  <c r="K76" i="1"/>
  <c r="K72" i="1" s="1"/>
  <c r="J76" i="1"/>
  <c r="J72" i="1" s="1"/>
  <c r="I76" i="1"/>
  <c r="H76" i="1"/>
  <c r="G76" i="1"/>
  <c r="F76" i="1"/>
  <c r="F72" i="1" s="1"/>
  <c r="E76" i="1"/>
  <c r="E72" i="1" s="1"/>
  <c r="D76" i="1"/>
  <c r="C76" i="1"/>
  <c r="C72" i="1" s="1"/>
  <c r="V75" i="1"/>
  <c r="U75" i="1"/>
  <c r="T75" i="1"/>
  <c r="S75" i="1"/>
  <c r="R75" i="1"/>
  <c r="Q75" i="1"/>
  <c r="P75" i="1"/>
  <c r="O75" i="1"/>
  <c r="N75" i="1"/>
  <c r="M75" i="1"/>
  <c r="L75" i="1"/>
  <c r="K75" i="1"/>
  <c r="J75" i="1"/>
  <c r="I75" i="1"/>
  <c r="H75" i="1"/>
  <c r="G75" i="1"/>
  <c r="F75" i="1"/>
  <c r="E75" i="1"/>
  <c r="D75" i="1"/>
  <c r="C75" i="1"/>
  <c r="U74" i="1"/>
  <c r="T74" i="1"/>
  <c r="S74" i="1"/>
  <c r="R74" i="1"/>
  <c r="Q74" i="1"/>
  <c r="P74" i="1"/>
  <c r="O74" i="1"/>
  <c r="N74" i="1"/>
  <c r="M74" i="1"/>
  <c r="L74" i="1"/>
  <c r="K74" i="1"/>
  <c r="J74" i="1"/>
  <c r="I74" i="1"/>
  <c r="H74" i="1"/>
  <c r="G74" i="1"/>
  <c r="F74" i="1"/>
  <c r="E74" i="1"/>
  <c r="D74" i="1"/>
  <c r="C74" i="1"/>
  <c r="O73" i="1"/>
  <c r="N73" i="1"/>
  <c r="M73" i="1"/>
  <c r="L73" i="1"/>
  <c r="K73" i="1"/>
  <c r="J73" i="1"/>
  <c r="I73" i="1"/>
  <c r="H73" i="1"/>
  <c r="G73" i="1"/>
  <c r="F73" i="1"/>
  <c r="E73" i="1"/>
  <c r="D73" i="1"/>
  <c r="C73" i="1"/>
  <c r="V72" i="1"/>
  <c r="U72" i="1"/>
  <c r="T72" i="1"/>
  <c r="S72" i="1"/>
  <c r="P72" i="1"/>
  <c r="L72" i="1"/>
  <c r="H72" i="1"/>
  <c r="D72" i="1"/>
  <c r="K67" i="1"/>
  <c r="K96" i="2" s="1"/>
  <c r="H67" i="1"/>
  <c r="G67" i="1"/>
  <c r="G96" i="2" s="1"/>
  <c r="V66" i="1"/>
  <c r="U66" i="1"/>
  <c r="T66" i="1"/>
  <c r="S66" i="1"/>
  <c r="R66" i="1"/>
  <c r="Q66" i="1"/>
  <c r="P66" i="1"/>
  <c r="O66" i="1"/>
  <c r="N66" i="1"/>
  <c r="M66" i="1"/>
  <c r="L66" i="1"/>
  <c r="K66" i="1"/>
  <c r="J66" i="1"/>
  <c r="I66" i="1"/>
  <c r="H66" i="1"/>
  <c r="G66" i="1"/>
  <c r="F66" i="1"/>
  <c r="E66" i="1"/>
  <c r="D66" i="1"/>
  <c r="C66" i="1"/>
  <c r="J63" i="1"/>
  <c r="D61" i="1"/>
  <c r="J59" i="1"/>
  <c r="H57" i="1"/>
  <c r="H55" i="1"/>
  <c r="H51" i="1"/>
  <c r="V47" i="1"/>
  <c r="U47" i="1"/>
  <c r="T47" i="1"/>
  <c r="S47" i="1"/>
  <c r="R47" i="1"/>
  <c r="Q47" i="1"/>
  <c r="P47" i="1"/>
  <c r="O47" i="1"/>
  <c r="N47" i="1"/>
  <c r="F64" i="1" s="1"/>
  <c r="M47" i="1"/>
  <c r="L47" i="1"/>
  <c r="K47" i="1"/>
  <c r="K64" i="1" s="1"/>
  <c r="J47" i="1"/>
  <c r="I47" i="1"/>
  <c r="H47" i="1"/>
  <c r="G47" i="1"/>
  <c r="F47" i="1"/>
  <c r="E47" i="1"/>
  <c r="D47" i="1"/>
  <c r="C47" i="1"/>
  <c r="C64" i="1" s="1"/>
  <c r="V36" i="1"/>
  <c r="U36" i="1"/>
  <c r="T36" i="1"/>
  <c r="S36" i="1"/>
  <c r="R36" i="1"/>
  <c r="Q36" i="1"/>
  <c r="P36" i="1"/>
  <c r="O36" i="1"/>
  <c r="N36" i="1"/>
  <c r="M36" i="1"/>
  <c r="L36" i="1"/>
  <c r="K36" i="1"/>
  <c r="J36" i="1"/>
  <c r="I36" i="1"/>
  <c r="H36" i="1"/>
  <c r="G36" i="1"/>
  <c r="G35" i="1" s="1"/>
  <c r="G76" i="2" s="1"/>
  <c r="F36" i="1"/>
  <c r="E36" i="1"/>
  <c r="D36" i="1"/>
  <c r="C36" i="1"/>
  <c r="K35" i="1"/>
  <c r="K76" i="2" s="1"/>
  <c r="E35" i="1"/>
  <c r="E76" i="2" s="1"/>
  <c r="V9" i="1"/>
  <c r="V7" i="1" s="1"/>
  <c r="V35" i="1" s="1"/>
  <c r="V76" i="2" s="1"/>
  <c r="U9" i="1"/>
  <c r="U7" i="1" s="1"/>
  <c r="T9" i="1"/>
  <c r="T7" i="1" s="1"/>
  <c r="S9" i="1"/>
  <c r="R9" i="1"/>
  <c r="Q9" i="1"/>
  <c r="P9" i="1"/>
  <c r="O9" i="1"/>
  <c r="O7" i="1" s="1"/>
  <c r="N9" i="1"/>
  <c r="N7" i="1" s="1"/>
  <c r="N35" i="1" s="1"/>
  <c r="N76" i="2" s="1"/>
  <c r="M9" i="1"/>
  <c r="M7" i="1" s="1"/>
  <c r="L9" i="1"/>
  <c r="R7" i="1"/>
  <c r="R35" i="1" s="1"/>
  <c r="R76" i="2" s="1"/>
  <c r="P7" i="1"/>
  <c r="P35" i="1" s="1"/>
  <c r="P76" i="2" s="1"/>
  <c r="L7" i="1"/>
  <c r="K7" i="1"/>
  <c r="J7" i="1"/>
  <c r="I7" i="1"/>
  <c r="H7" i="1"/>
  <c r="H35" i="1" s="1"/>
  <c r="H76" i="2" s="1"/>
  <c r="G7" i="1"/>
  <c r="F7" i="1"/>
  <c r="F35" i="1" s="1"/>
  <c r="F76" i="2" s="1"/>
  <c r="E7" i="1"/>
  <c r="D7" i="1"/>
  <c r="C7" i="1"/>
  <c r="C35" i="1" s="1"/>
  <c r="C76" i="2" s="1"/>
  <c r="V6" i="1"/>
  <c r="U6" i="1"/>
  <c r="T6" i="1"/>
  <c r="S6" i="1"/>
  <c r="R6" i="1"/>
  <c r="Q6" i="1"/>
  <c r="P6" i="1"/>
  <c r="O6" i="1"/>
  <c r="N6" i="1"/>
  <c r="M6" i="1"/>
  <c r="L6" i="1"/>
  <c r="K6" i="1"/>
  <c r="J6" i="1"/>
  <c r="I6" i="1"/>
  <c r="H6" i="1"/>
  <c r="G6" i="1"/>
  <c r="F6" i="1"/>
  <c r="E6" i="1"/>
  <c r="D6" i="1"/>
  <c r="C6" i="1"/>
  <c r="G412" i="1" l="1"/>
  <c r="G410" i="1"/>
  <c r="G1077" i="1" s="1"/>
  <c r="G411" i="1"/>
  <c r="J412" i="1"/>
  <c r="J411" i="1"/>
  <c r="C412" i="1"/>
  <c r="M578" i="1"/>
  <c r="M579" i="1" s="1"/>
  <c r="C52" i="1"/>
  <c r="F60" i="1"/>
  <c r="U577" i="1"/>
  <c r="K412" i="1"/>
  <c r="I411" i="1"/>
  <c r="F52" i="1"/>
  <c r="G60" i="1"/>
  <c r="F167" i="1"/>
  <c r="J168" i="1"/>
  <c r="K168" i="1"/>
  <c r="U168" i="1"/>
  <c r="F425" i="1"/>
  <c r="T215" i="1"/>
  <c r="D217" i="1"/>
  <c r="F218" i="1"/>
  <c r="C271" i="1"/>
  <c r="C272" i="1"/>
  <c r="J271" i="1"/>
  <c r="D322" i="1"/>
  <c r="V322" i="1"/>
  <c r="F324" i="1"/>
  <c r="T324" i="1"/>
  <c r="H324" i="1"/>
  <c r="P324" i="1"/>
  <c r="I347" i="1"/>
  <c r="J346" i="1"/>
  <c r="J344" i="1" s="1"/>
  <c r="R346" i="1"/>
  <c r="R344" i="1" s="1"/>
  <c r="H411" i="1"/>
  <c r="R465" i="1"/>
  <c r="K561" i="1"/>
  <c r="K592" i="1"/>
  <c r="K578" i="1" s="1"/>
  <c r="S592" i="1"/>
  <c r="G592" i="1"/>
  <c r="G578" i="1" s="1"/>
  <c r="V158" i="2"/>
  <c r="V207" i="2" s="1"/>
  <c r="V1061" i="1"/>
  <c r="E118" i="2"/>
  <c r="G118" i="2"/>
  <c r="L171" i="2"/>
  <c r="L54" i="2"/>
  <c r="U171" i="2"/>
  <c r="U54" i="2"/>
  <c r="Q173" i="2"/>
  <c r="Q58" i="2"/>
  <c r="I174" i="2"/>
  <c r="I118" i="2"/>
  <c r="M176" i="2"/>
  <c r="M64" i="2"/>
  <c r="H53" i="1"/>
  <c r="J61" i="1"/>
  <c r="R215" i="1"/>
  <c r="G50" i="1"/>
  <c r="J53" i="1"/>
  <c r="G56" i="1"/>
  <c r="I58" i="1"/>
  <c r="L61" i="1"/>
  <c r="J64" i="1"/>
  <c r="I50" i="1"/>
  <c r="G52" i="1"/>
  <c r="L53" i="1"/>
  <c r="J56" i="1"/>
  <c r="D59" i="1"/>
  <c r="I60" i="1"/>
  <c r="D63" i="1"/>
  <c r="D182" i="1"/>
  <c r="D131" i="2" s="1"/>
  <c r="D216" i="1"/>
  <c r="P217" i="1"/>
  <c r="D270" i="1"/>
  <c r="E271" i="1"/>
  <c r="N169" i="2"/>
  <c r="N322" i="1"/>
  <c r="C323" i="1"/>
  <c r="S323" i="1"/>
  <c r="G324" i="1"/>
  <c r="R345" i="1"/>
  <c r="M346" i="1"/>
  <c r="M344" i="1" s="1"/>
  <c r="L434" i="1"/>
  <c r="S344" i="1"/>
  <c r="P466" i="1"/>
  <c r="P464" i="1" s="1"/>
  <c r="Q460" i="1" s="1"/>
  <c r="T466" i="1"/>
  <c r="T464" i="1" s="1"/>
  <c r="U460" i="1" s="1"/>
  <c r="F465" i="1"/>
  <c r="R580" i="1"/>
  <c r="R578" i="1" s="1"/>
  <c r="R579" i="1" s="1"/>
  <c r="V592" i="1"/>
  <c r="F118" i="2"/>
  <c r="F56" i="1"/>
  <c r="D218" i="1"/>
  <c r="M577" i="1"/>
  <c r="I59" i="1"/>
  <c r="D51" i="1"/>
  <c r="I52" i="1"/>
  <c r="D55" i="1"/>
  <c r="D57" i="1"/>
  <c r="F59" i="1"/>
  <c r="J60" i="1"/>
  <c r="F63" i="1"/>
  <c r="Q72" i="1"/>
  <c r="H167" i="1"/>
  <c r="C168" i="1"/>
  <c r="P425" i="1"/>
  <c r="H217" i="1"/>
  <c r="Q217" i="1"/>
  <c r="I272" i="1"/>
  <c r="D271" i="1"/>
  <c r="O322" i="1"/>
  <c r="D323" i="1"/>
  <c r="L323" i="1"/>
  <c r="T323" i="1"/>
  <c r="K324" i="1"/>
  <c r="J324" i="1"/>
  <c r="R324" i="1"/>
  <c r="J345" i="1"/>
  <c r="D346" i="1"/>
  <c r="D344" i="1" s="1"/>
  <c r="L346" i="1"/>
  <c r="L344" i="1" s="1"/>
  <c r="T346" i="1"/>
  <c r="T344" i="1" s="1"/>
  <c r="C344" i="1"/>
  <c r="K1079" i="1"/>
  <c r="K411" i="1"/>
  <c r="E413" i="1"/>
  <c r="C429" i="1"/>
  <c r="C410" i="1" s="1"/>
  <c r="C1077" i="1" s="1"/>
  <c r="C35" i="2" s="1"/>
  <c r="N432" i="1"/>
  <c r="C580" i="1"/>
  <c r="C578" i="1" s="1"/>
  <c r="C579" i="1" s="1"/>
  <c r="G58" i="1"/>
  <c r="G64" i="1"/>
  <c r="R166" i="1"/>
  <c r="N218" i="1"/>
  <c r="J35" i="1"/>
  <c r="J76" i="2" s="1"/>
  <c r="F51" i="1"/>
  <c r="J52" i="1"/>
  <c r="F55" i="1"/>
  <c r="F57" i="1"/>
  <c r="H59" i="1"/>
  <c r="K60" i="1"/>
  <c r="H63" i="1"/>
  <c r="R72" i="1"/>
  <c r="O168" i="1"/>
  <c r="I217" i="1"/>
  <c r="R217" i="1"/>
  <c r="E269" i="1"/>
  <c r="K272" i="1"/>
  <c r="L413" i="1"/>
  <c r="V272" i="1"/>
  <c r="G322" i="1"/>
  <c r="T345" i="1"/>
  <c r="Q346" i="1"/>
  <c r="Q344" i="1" s="1"/>
  <c r="H410" i="1"/>
  <c r="U425" i="1"/>
  <c r="E465" i="1"/>
  <c r="M465" i="1"/>
  <c r="L465" i="1"/>
  <c r="L463" i="1" s="1"/>
  <c r="M459" i="1" s="1"/>
  <c r="M116" i="2" s="1"/>
  <c r="J466" i="1"/>
  <c r="J464" i="1" s="1"/>
  <c r="K460" i="1" s="1"/>
  <c r="D465" i="1"/>
  <c r="M596" i="1"/>
  <c r="M111" i="2"/>
  <c r="M70" i="2"/>
  <c r="L109" i="2"/>
  <c r="I580" i="1"/>
  <c r="I578" i="1" s="1"/>
  <c r="Q592" i="1"/>
  <c r="Q578" i="1" s="1"/>
  <c r="R642" i="1"/>
  <c r="D58" i="1"/>
  <c r="L58" i="1"/>
  <c r="J51" i="1"/>
  <c r="D53" i="1"/>
  <c r="J55" i="1"/>
  <c r="J57" i="1"/>
  <c r="L59" i="1"/>
  <c r="F61" i="1"/>
  <c r="L63" i="1"/>
  <c r="Q168" i="1"/>
  <c r="L215" i="1"/>
  <c r="T216" i="1"/>
  <c r="U218" i="1"/>
  <c r="M271" i="1"/>
  <c r="Q269" i="1"/>
  <c r="J322" i="1"/>
  <c r="O323" i="1"/>
  <c r="D345" i="1"/>
  <c r="E346" i="1"/>
  <c r="E344" i="1" s="1"/>
  <c r="U346" i="1"/>
  <c r="U344" i="1" s="1"/>
  <c r="J410" i="1"/>
  <c r="J1077" i="1" s="1"/>
  <c r="O465" i="1"/>
  <c r="D466" i="1"/>
  <c r="D464" i="1" s="1"/>
  <c r="E460" i="1" s="1"/>
  <c r="L466" i="1"/>
  <c r="L464" i="1" s="1"/>
  <c r="M460" i="1" s="1"/>
  <c r="V470" i="1"/>
  <c r="V466" i="1" s="1"/>
  <c r="V464" i="1" s="1"/>
  <c r="K465" i="1"/>
  <c r="J465" i="1"/>
  <c r="P561" i="1"/>
  <c r="F580" i="1"/>
  <c r="N580" i="1"/>
  <c r="H642" i="1"/>
  <c r="P642" i="1"/>
  <c r="D118" i="2"/>
  <c r="K52" i="1"/>
  <c r="E63" i="1"/>
  <c r="M58" i="1"/>
  <c r="L51" i="1"/>
  <c r="F53" i="1"/>
  <c r="L55" i="1"/>
  <c r="L57" i="1"/>
  <c r="C60" i="1"/>
  <c r="H61" i="1"/>
  <c r="P215" i="1"/>
  <c r="U216" i="1"/>
  <c r="V218" i="1"/>
  <c r="G344" i="1"/>
  <c r="H465" i="1"/>
  <c r="H463" i="1" s="1"/>
  <c r="I459" i="1" s="1"/>
  <c r="I116" i="2" s="1"/>
  <c r="Q434" i="1"/>
  <c r="Q446" i="1"/>
  <c r="C465" i="1"/>
  <c r="T561" i="1"/>
  <c r="J642" i="1"/>
  <c r="M175" i="2"/>
  <c r="M62" i="2"/>
  <c r="Q177" i="2"/>
  <c r="Q66" i="2"/>
  <c r="L138" i="2"/>
  <c r="U465" i="1"/>
  <c r="P465" i="1"/>
  <c r="F470" i="1"/>
  <c r="F466" i="1" s="1"/>
  <c r="F464" i="1" s="1"/>
  <c r="G460" i="1" s="1"/>
  <c r="N470" i="1"/>
  <c r="N466" i="1" s="1"/>
  <c r="N464" i="1" s="1"/>
  <c r="O460" i="1" s="1"/>
  <c r="J561" i="1"/>
  <c r="R561" i="1"/>
  <c r="R560" i="1" s="1"/>
  <c r="C602" i="1"/>
  <c r="K602" i="1"/>
  <c r="U602" i="1"/>
  <c r="I642" i="1"/>
  <c r="Q642" i="1"/>
  <c r="L592" i="1"/>
  <c r="L578" i="1" s="1"/>
  <c r="L579" i="1" s="1"/>
  <c r="T592" i="1"/>
  <c r="H730" i="1"/>
  <c r="H594" i="1" s="1"/>
  <c r="H592" i="1" s="1"/>
  <c r="H578" i="1" s="1"/>
  <c r="H579" i="1" s="1"/>
  <c r="P730" i="1"/>
  <c r="P594" i="1" s="1"/>
  <c r="P592" i="1" s="1"/>
  <c r="P578" i="1" s="1"/>
  <c r="P577" i="1" s="1"/>
  <c r="H1080" i="1"/>
  <c r="P1080" i="1"/>
  <c r="G1080" i="1"/>
  <c r="C560" i="1"/>
  <c r="I1622" i="1"/>
  <c r="Q1622" i="1"/>
  <c r="Q574" i="1" s="1"/>
  <c r="D168" i="2"/>
  <c r="T171" i="2"/>
  <c r="I172" i="2"/>
  <c r="P173" i="2"/>
  <c r="F175" i="2"/>
  <c r="N175" i="2"/>
  <c r="U176" i="2"/>
  <c r="J177" i="2"/>
  <c r="R177" i="2"/>
  <c r="I180" i="2"/>
  <c r="Q180" i="2"/>
  <c r="J130" i="2"/>
  <c r="K182" i="2"/>
  <c r="M184" i="2"/>
  <c r="M185" i="2"/>
  <c r="D186" i="2"/>
  <c r="I192" i="2"/>
  <c r="Q192" i="2"/>
  <c r="E194" i="2"/>
  <c r="M194" i="2"/>
  <c r="U194" i="2"/>
  <c r="J195" i="2"/>
  <c r="R195" i="2"/>
  <c r="I198" i="2"/>
  <c r="H150" i="2"/>
  <c r="H109" i="2" s="1"/>
  <c r="J200" i="2"/>
  <c r="R200" i="2"/>
  <c r="L203" i="2"/>
  <c r="G205" i="2"/>
  <c r="O205" i="2"/>
  <c r="E206" i="2"/>
  <c r="M206" i="2"/>
  <c r="T207" i="2"/>
  <c r="P209" i="2"/>
  <c r="E210" i="2"/>
  <c r="M210" i="2"/>
  <c r="U210" i="2"/>
  <c r="Q212" i="2"/>
  <c r="I150" i="2"/>
  <c r="I199" i="2" s="1"/>
  <c r="H170" i="2"/>
  <c r="P170" i="2"/>
  <c r="K172" i="2"/>
  <c r="T172" i="2"/>
  <c r="I173" i="2"/>
  <c r="J174" i="2"/>
  <c r="F176" i="2"/>
  <c r="N176" i="2"/>
  <c r="I178" i="2"/>
  <c r="Q178" i="2"/>
  <c r="M130" i="2"/>
  <c r="K180" i="2"/>
  <c r="S180" i="2"/>
  <c r="U181" i="2"/>
  <c r="N111" i="2"/>
  <c r="G185" i="2"/>
  <c r="O185" i="2"/>
  <c r="E186" i="2"/>
  <c r="M186" i="2"/>
  <c r="U186" i="2"/>
  <c r="Q188" i="2"/>
  <c r="D190" i="2"/>
  <c r="M190" i="2"/>
  <c r="R193" i="2"/>
  <c r="I196" i="2"/>
  <c r="F197" i="2"/>
  <c r="N197" i="2"/>
  <c r="K150" i="2"/>
  <c r="K109" i="2" s="1"/>
  <c r="F203" i="2"/>
  <c r="N203" i="2"/>
  <c r="I205" i="2"/>
  <c r="U207" i="2"/>
  <c r="P210" i="2"/>
  <c r="G465" i="1"/>
  <c r="G462" i="1" s="1"/>
  <c r="G461" i="1" s="1"/>
  <c r="Q466" i="1"/>
  <c r="Q464" i="1" s="1"/>
  <c r="R460" i="1" s="1"/>
  <c r="I216" i="1"/>
  <c r="F596" i="1"/>
  <c r="N596" i="1"/>
  <c r="V596" i="1"/>
  <c r="F602" i="1"/>
  <c r="N602" i="1"/>
  <c r="C601" i="1"/>
  <c r="K601" i="1"/>
  <c r="T642" i="1"/>
  <c r="R665" i="1"/>
  <c r="O730" i="1"/>
  <c r="O594" i="1" s="1"/>
  <c r="O592" i="1" s="1"/>
  <c r="O578" i="1" s="1"/>
  <c r="J1140" i="1"/>
  <c r="D1622" i="1"/>
  <c r="L1622" i="1"/>
  <c r="T1622" i="1"/>
  <c r="T574" i="1" s="1"/>
  <c r="S168" i="2"/>
  <c r="O171" i="2"/>
  <c r="D172" i="2"/>
  <c r="L172" i="2"/>
  <c r="U172" i="2"/>
  <c r="I175" i="2"/>
  <c r="Q130" i="2"/>
  <c r="U138" i="2"/>
  <c r="J138" i="2"/>
  <c r="P189" i="2"/>
  <c r="U192" i="2"/>
  <c r="U195" i="2"/>
  <c r="J196" i="2"/>
  <c r="H203" i="2"/>
  <c r="P203" i="2"/>
  <c r="D209" i="2"/>
  <c r="L209" i="2"/>
  <c r="T209" i="2"/>
  <c r="H210" i="2"/>
  <c r="C1080" i="1"/>
  <c r="K1080" i="1"/>
  <c r="O560" i="1"/>
  <c r="K1140" i="1"/>
  <c r="H602" i="1"/>
  <c r="P602" i="1"/>
  <c r="E601" i="1"/>
  <c r="M601" i="1"/>
  <c r="P1140" i="1"/>
  <c r="P573" i="1" s="1"/>
  <c r="P560" i="1" s="1"/>
  <c r="L1140" i="1"/>
  <c r="H118" i="2"/>
  <c r="K170" i="2"/>
  <c r="S170" i="2"/>
  <c r="H171" i="2"/>
  <c r="E174" i="2"/>
  <c r="M174" i="2"/>
  <c r="D175" i="2"/>
  <c r="I176" i="2"/>
  <c r="U178" i="2"/>
  <c r="Q189" i="2"/>
  <c r="G191" i="2"/>
  <c r="O191" i="2"/>
  <c r="F192" i="2"/>
  <c r="N192" i="2"/>
  <c r="U193" i="2"/>
  <c r="J194" i="2"/>
  <c r="R194" i="2"/>
  <c r="I197" i="2"/>
  <c r="Q197" i="2"/>
  <c r="F198" i="2"/>
  <c r="O150" i="2"/>
  <c r="M201" i="2"/>
  <c r="L202" i="2"/>
  <c r="S202" i="2"/>
  <c r="I203" i="2"/>
  <c r="Q203" i="2"/>
  <c r="P207" i="2"/>
  <c r="E209" i="2"/>
  <c r="M209" i="2"/>
  <c r="U209" i="2"/>
  <c r="R112" i="2"/>
  <c r="L642" i="1"/>
  <c r="E642" i="1"/>
  <c r="M642" i="1"/>
  <c r="U642" i="1"/>
  <c r="S665" i="1"/>
  <c r="J730" i="1"/>
  <c r="J594" i="1" s="1"/>
  <c r="J592" i="1" s="1"/>
  <c r="J578" i="1" s="1"/>
  <c r="J118" i="2"/>
  <c r="E138" i="2"/>
  <c r="Q150" i="2"/>
  <c r="Q109" i="2" s="1"/>
  <c r="L206" i="2"/>
  <c r="D210" i="2"/>
  <c r="T210" i="2"/>
  <c r="G167" i="2"/>
  <c r="G109" i="2"/>
  <c r="O109" i="2"/>
  <c r="V124" i="2"/>
  <c r="V419" i="1"/>
  <c r="V163" i="2"/>
  <c r="V458" i="1"/>
  <c r="V121" i="2"/>
  <c r="V416" i="1"/>
  <c r="T462" i="1"/>
  <c r="T463" i="1"/>
  <c r="U459" i="1" s="1"/>
  <c r="U116" i="2" s="1"/>
  <c r="V139" i="2"/>
  <c r="V435" i="1"/>
  <c r="V190" i="1"/>
  <c r="V144" i="2"/>
  <c r="V193" i="2" s="1"/>
  <c r="V440" i="1"/>
  <c r="V642" i="1"/>
  <c r="L573" i="1"/>
  <c r="L560" i="1" s="1"/>
  <c r="L574" i="1"/>
  <c r="M73" i="2"/>
  <c r="M21" i="2"/>
  <c r="M22" i="2"/>
  <c r="M19" i="2"/>
  <c r="M17" i="2"/>
  <c r="M15" i="2"/>
  <c r="M13" i="2"/>
  <c r="M14" i="2" s="1"/>
  <c r="M5" i="2"/>
  <c r="M3" i="2"/>
  <c r="M75" i="2"/>
  <c r="M25" i="2"/>
  <c r="M18" i="2"/>
  <c r="M74" i="2"/>
  <c r="M34" i="2"/>
  <c r="M35" i="1"/>
  <c r="M76" i="2" s="1"/>
  <c r="U22" i="2"/>
  <c r="U20" i="2"/>
  <c r="U19" i="2"/>
  <c r="U17" i="2"/>
  <c r="U15" i="2"/>
  <c r="U13" i="2"/>
  <c r="U14" i="2" s="1"/>
  <c r="U5" i="2"/>
  <c r="U3" i="2"/>
  <c r="U75" i="2"/>
  <c r="U25" i="2"/>
  <c r="U18" i="2"/>
  <c r="U74" i="2"/>
  <c r="U34" i="2"/>
  <c r="U35" i="1"/>
  <c r="U76" i="2" s="1"/>
  <c r="T271" i="1"/>
  <c r="T269" i="1"/>
  <c r="T272" i="1"/>
  <c r="T270" i="1"/>
  <c r="E463" i="1"/>
  <c r="F459" i="1" s="1"/>
  <c r="E462" i="1"/>
  <c r="E461" i="1" s="1"/>
  <c r="M463" i="1"/>
  <c r="N459" i="1" s="1"/>
  <c r="M462" i="1"/>
  <c r="M461" i="1" s="1"/>
  <c r="V147" i="2"/>
  <c r="V443" i="1"/>
  <c r="V156" i="2"/>
  <c r="V452" i="1"/>
  <c r="K462" i="1"/>
  <c r="K461" i="1" s="1"/>
  <c r="K463" i="1"/>
  <c r="L459" i="1" s="1"/>
  <c r="J463" i="1"/>
  <c r="K459" i="1" s="1"/>
  <c r="K116" i="2" s="1"/>
  <c r="U665" i="1"/>
  <c r="J579" i="1"/>
  <c r="J577" i="1"/>
  <c r="V122" i="2"/>
  <c r="V417" i="1"/>
  <c r="N463" i="1"/>
  <c r="O459" i="1" s="1"/>
  <c r="C462" i="1"/>
  <c r="C461" i="1" s="1"/>
  <c r="C463" i="1"/>
  <c r="D459" i="1" s="1"/>
  <c r="D133" i="2"/>
  <c r="D130" i="2" s="1"/>
  <c r="D428" i="1"/>
  <c r="E184" i="1" s="1"/>
  <c r="O463" i="1"/>
  <c r="P459" i="1" s="1"/>
  <c r="O462" i="1"/>
  <c r="V140" i="2"/>
  <c r="V189" i="2" s="1"/>
  <c r="V436" i="1"/>
  <c r="V142" i="2"/>
  <c r="V191" i="2" s="1"/>
  <c r="V438" i="1"/>
  <c r="P463" i="1"/>
  <c r="Q459" i="1" s="1"/>
  <c r="Q116" i="2" s="1"/>
  <c r="P462" i="1"/>
  <c r="G579" i="1"/>
  <c r="G577" i="1"/>
  <c r="L577" i="1"/>
  <c r="P579" i="1"/>
  <c r="O75" i="2"/>
  <c r="O25" i="2"/>
  <c r="O18" i="2"/>
  <c r="O74" i="2"/>
  <c r="O34" i="2"/>
  <c r="O73" i="2"/>
  <c r="O21" i="2"/>
  <c r="O22" i="2"/>
  <c r="O20" i="2"/>
  <c r="O19" i="2"/>
  <c r="O17" i="2"/>
  <c r="O15" i="2"/>
  <c r="O13" i="2"/>
  <c r="O14" i="2" s="1"/>
  <c r="O5" i="2"/>
  <c r="O3" i="2"/>
  <c r="O35" i="1"/>
  <c r="O76" i="2" s="1"/>
  <c r="S271" i="1"/>
  <c r="S269" i="1"/>
  <c r="S272" i="1"/>
  <c r="I269" i="1"/>
  <c r="U463" i="1"/>
  <c r="V459" i="1" s="1"/>
  <c r="U462" i="1"/>
  <c r="C218" i="1"/>
  <c r="C216" i="1"/>
  <c r="C217" i="1"/>
  <c r="C215" i="1"/>
  <c r="U413" i="1"/>
  <c r="V123" i="2"/>
  <c r="V418" i="1"/>
  <c r="H462" i="1"/>
  <c r="H461" i="1" s="1"/>
  <c r="V148" i="2"/>
  <c r="V197" i="2" s="1"/>
  <c r="V444" i="1"/>
  <c r="V161" i="2"/>
  <c r="V456" i="1"/>
  <c r="S470" i="1"/>
  <c r="S466" i="1" s="1"/>
  <c r="S464" i="1" s="1"/>
  <c r="T460" i="1" s="1"/>
  <c r="R462" i="1"/>
  <c r="R463" i="1"/>
  <c r="S459" i="1" s="1"/>
  <c r="N592" i="1"/>
  <c r="D573" i="1"/>
  <c r="D560" i="1" s="1"/>
  <c r="D574" i="1"/>
  <c r="T1140" i="1"/>
  <c r="T573" i="1" s="1"/>
  <c r="T560" i="1" s="1"/>
  <c r="R271" i="1"/>
  <c r="R269" i="1"/>
  <c r="R272" i="1"/>
  <c r="R270" i="1"/>
  <c r="V125" i="2"/>
  <c r="V420" i="1"/>
  <c r="V128" i="2"/>
  <c r="V423" i="1"/>
  <c r="D135" i="2"/>
  <c r="D430" i="1"/>
  <c r="D185" i="1"/>
  <c r="V135" i="2"/>
  <c r="V185" i="1"/>
  <c r="V430" i="1"/>
  <c r="F463" i="1"/>
  <c r="G459" i="1" s="1"/>
  <c r="G116" i="2" s="1"/>
  <c r="F462" i="1"/>
  <c r="N578" i="1"/>
  <c r="K579" i="1"/>
  <c r="K577" i="1"/>
  <c r="F411" i="1"/>
  <c r="F412" i="1"/>
  <c r="E218" i="1"/>
  <c r="E216" i="1"/>
  <c r="E217" i="1"/>
  <c r="E215" i="1"/>
  <c r="V129" i="2"/>
  <c r="V424" i="1"/>
  <c r="V146" i="2"/>
  <c r="V195" i="2" s="1"/>
  <c r="V442" i="1"/>
  <c r="G463" i="1"/>
  <c r="H459" i="1" s="1"/>
  <c r="O579" i="1"/>
  <c r="O577" i="1"/>
  <c r="J573" i="1"/>
  <c r="J560" i="1" s="1"/>
  <c r="J574" i="1"/>
  <c r="L462" i="1"/>
  <c r="L461" i="1" s="1"/>
  <c r="S465" i="1"/>
  <c r="D462" i="1"/>
  <c r="D461" i="1" s="1"/>
  <c r="D463" i="1"/>
  <c r="E459" i="1" s="1"/>
  <c r="E116" i="2" s="1"/>
  <c r="K573" i="1"/>
  <c r="K560" i="1" s="1"/>
  <c r="K574" i="1"/>
  <c r="T101" i="2"/>
  <c r="T85" i="2"/>
  <c r="V48" i="2"/>
  <c r="D180" i="2"/>
  <c r="V70" i="2"/>
  <c r="V111" i="2"/>
  <c r="U448" i="1"/>
  <c r="V204" i="1" s="1"/>
  <c r="I465" i="1"/>
  <c r="V251" i="2"/>
  <c r="V1622" i="1"/>
  <c r="V574" i="1" s="1"/>
  <c r="R118" i="2"/>
  <c r="I138" i="2"/>
  <c r="T73" i="2"/>
  <c r="T22" i="2"/>
  <c r="T20" i="2"/>
  <c r="T19" i="2"/>
  <c r="T17" i="2"/>
  <c r="T15" i="2"/>
  <c r="T13" i="2"/>
  <c r="T14" i="2" s="1"/>
  <c r="T5" i="2"/>
  <c r="T3" i="2"/>
  <c r="T75" i="2"/>
  <c r="T25" i="2"/>
  <c r="T18" i="2"/>
  <c r="T74" i="2"/>
  <c r="T34" i="2"/>
  <c r="U687" i="2"/>
  <c r="U685" i="2"/>
  <c r="U683" i="2"/>
  <c r="U681" i="2"/>
  <c r="U679" i="2"/>
  <c r="U677" i="2"/>
  <c r="U675" i="2"/>
  <c r="U682" i="2"/>
  <c r="U674" i="2"/>
  <c r="U686" i="2"/>
  <c r="U666" i="2"/>
  <c r="U664" i="2"/>
  <c r="U662" i="2"/>
  <c r="U660" i="2"/>
  <c r="U658" i="2"/>
  <c r="U656" i="2"/>
  <c r="U654" i="2"/>
  <c r="U652" i="2"/>
  <c r="U650" i="2"/>
  <c r="U688" i="2"/>
  <c r="U680" i="2"/>
  <c r="U676" i="2"/>
  <c r="U668" i="2"/>
  <c r="U653" i="2"/>
  <c r="U673" i="2"/>
  <c r="U671" i="2"/>
  <c r="U670" i="2"/>
  <c r="U665" i="2"/>
  <c r="U645" i="2"/>
  <c r="U643" i="2"/>
  <c r="U641" i="2"/>
  <c r="U639" i="2"/>
  <c r="U637" i="2"/>
  <c r="U635" i="2"/>
  <c r="U663" i="2"/>
  <c r="U646" i="2"/>
  <c r="U642" i="2"/>
  <c r="U638" i="2"/>
  <c r="U634" i="2"/>
  <c r="U672" i="2"/>
  <c r="U669" i="2"/>
  <c r="U659" i="2"/>
  <c r="U655" i="2"/>
  <c r="U633" i="2"/>
  <c r="U620" i="2"/>
  <c r="U618" i="2"/>
  <c r="U616" i="2"/>
  <c r="U614" i="2"/>
  <c r="U627" i="2"/>
  <c r="U667" i="2"/>
  <c r="U644" i="2"/>
  <c r="U629" i="2"/>
  <c r="U621" i="2"/>
  <c r="U603" i="2"/>
  <c r="U647" i="2"/>
  <c r="U617" i="2"/>
  <c r="U605" i="2"/>
  <c r="U604" i="2"/>
  <c r="U600" i="2"/>
  <c r="U595" i="2"/>
  <c r="U584" i="2"/>
  <c r="U579" i="2"/>
  <c r="U567" i="2"/>
  <c r="U565" i="2"/>
  <c r="U563" i="2"/>
  <c r="U684" i="2"/>
  <c r="U632" i="2"/>
  <c r="U609" i="2"/>
  <c r="U598" i="2"/>
  <c r="U661" i="2"/>
  <c r="U640" i="2"/>
  <c r="U619" i="2"/>
  <c r="U607" i="2"/>
  <c r="U594" i="2"/>
  <c r="U593" i="2"/>
  <c r="U582" i="2"/>
  <c r="U570" i="2"/>
  <c r="U564" i="2"/>
  <c r="U560" i="2"/>
  <c r="U558" i="2"/>
  <c r="U556" i="2"/>
  <c r="U554" i="2"/>
  <c r="U552" i="2"/>
  <c r="U550" i="2"/>
  <c r="U548" i="2"/>
  <c r="U626" i="2"/>
  <c r="U622" i="2"/>
  <c r="U613" i="2"/>
  <c r="U597" i="2"/>
  <c r="U586" i="2"/>
  <c r="U585" i="2"/>
  <c r="U574" i="2"/>
  <c r="U562" i="2"/>
  <c r="U649" i="2"/>
  <c r="U630" i="2"/>
  <c r="U628" i="2"/>
  <c r="U623" i="2"/>
  <c r="U568" i="2"/>
  <c r="U546" i="2"/>
  <c r="U544" i="2"/>
  <c r="U540" i="2"/>
  <c r="U538" i="2"/>
  <c r="U536" i="2"/>
  <c r="U534" i="2"/>
  <c r="U532" i="2"/>
  <c r="U530" i="2"/>
  <c r="U651" i="2"/>
  <c r="U590" i="2"/>
  <c r="U608" i="2"/>
  <c r="U596" i="2"/>
  <c r="U580" i="2"/>
  <c r="U573" i="2"/>
  <c r="U545" i="2"/>
  <c r="U543" i="2"/>
  <c r="U541" i="2"/>
  <c r="U539" i="2"/>
  <c r="U537" i="2"/>
  <c r="U535" i="2"/>
  <c r="U533" i="2"/>
  <c r="U531" i="2"/>
  <c r="U529" i="2"/>
  <c r="U657" i="2"/>
  <c r="U631" i="2"/>
  <c r="U624" i="2"/>
  <c r="U610" i="2"/>
  <c r="U572" i="2"/>
  <c r="U566" i="2"/>
  <c r="U549" i="2"/>
  <c r="U601" i="2"/>
  <c r="U587" i="2"/>
  <c r="U583" i="2"/>
  <c r="U571" i="2"/>
  <c r="U551" i="2"/>
  <c r="U527" i="2"/>
  <c r="U525" i="2"/>
  <c r="U523" i="2"/>
  <c r="U521" i="2"/>
  <c r="U519" i="2"/>
  <c r="U517" i="2"/>
  <c r="U611" i="2"/>
  <c r="U588" i="2"/>
  <c r="U553" i="2"/>
  <c r="U636" i="2"/>
  <c r="U524" i="2"/>
  <c r="U612" i="2"/>
  <c r="U547" i="2"/>
  <c r="U518" i="2"/>
  <c r="U515" i="2"/>
  <c r="U648" i="2"/>
  <c r="U559" i="2"/>
  <c r="U516" i="2"/>
  <c r="U508" i="2"/>
  <c r="U606" i="2"/>
  <c r="U575" i="2"/>
  <c r="U557" i="2"/>
  <c r="U511" i="2"/>
  <c r="U578" i="2"/>
  <c r="U504" i="2"/>
  <c r="U502" i="2"/>
  <c r="U500" i="2"/>
  <c r="U498" i="2"/>
  <c r="U496" i="2"/>
  <c r="U494" i="2"/>
  <c r="U599" i="2"/>
  <c r="U555" i="2"/>
  <c r="U520" i="2"/>
  <c r="U514" i="2"/>
  <c r="U577" i="2"/>
  <c r="U512" i="2"/>
  <c r="U505" i="2"/>
  <c r="U503" i="2"/>
  <c r="U501" i="2"/>
  <c r="U497" i="2"/>
  <c r="U495" i="2"/>
  <c r="U493" i="2"/>
  <c r="U592" i="2"/>
  <c r="U576" i="2"/>
  <c r="U510" i="2"/>
  <c r="U615" i="2"/>
  <c r="U591" i="2"/>
  <c r="U528" i="2"/>
  <c r="U509" i="2"/>
  <c r="U513" i="2"/>
  <c r="U488" i="2"/>
  <c r="U480" i="2"/>
  <c r="U472" i="2"/>
  <c r="U464" i="2"/>
  <c r="U448" i="2"/>
  <c r="U440" i="2"/>
  <c r="U432" i="2"/>
  <c r="U506" i="2"/>
  <c r="U489" i="2"/>
  <c r="U481" i="2"/>
  <c r="U473" i="2"/>
  <c r="U465" i="2"/>
  <c r="U457" i="2"/>
  <c r="U449" i="2"/>
  <c r="U490" i="2"/>
  <c r="U482" i="2"/>
  <c r="U474" i="2"/>
  <c r="U466" i="2"/>
  <c r="U458" i="2"/>
  <c r="U491" i="2"/>
  <c r="U483" i="2"/>
  <c r="U475" i="2"/>
  <c r="U467" i="2"/>
  <c r="U459" i="2"/>
  <c r="U451" i="2"/>
  <c r="U443" i="2"/>
  <c r="U435" i="2"/>
  <c r="U427" i="2"/>
  <c r="U492" i="2"/>
  <c r="U476" i="2"/>
  <c r="U468" i="2"/>
  <c r="U460" i="2"/>
  <c r="U452" i="2"/>
  <c r="U444" i="2"/>
  <c r="U436" i="2"/>
  <c r="U428" i="2"/>
  <c r="U485" i="2"/>
  <c r="U477" i="2"/>
  <c r="U469" i="2"/>
  <c r="U461" i="2"/>
  <c r="U453" i="2"/>
  <c r="U486" i="2"/>
  <c r="U478" i="2"/>
  <c r="U470" i="2"/>
  <c r="U462" i="2"/>
  <c r="U454" i="2"/>
  <c r="U446" i="2"/>
  <c r="U487" i="2"/>
  <c r="U479" i="2"/>
  <c r="U471" i="2"/>
  <c r="U463" i="2"/>
  <c r="U455" i="2"/>
  <c r="U447" i="2"/>
  <c r="U439" i="2"/>
  <c r="U431" i="2"/>
  <c r="U430" i="2"/>
  <c r="U425" i="2"/>
  <c r="U421" i="2"/>
  <c r="U417" i="2"/>
  <c r="U407" i="2"/>
  <c r="U399" i="2"/>
  <c r="U391" i="2"/>
  <c r="U383" i="2"/>
  <c r="U375" i="2"/>
  <c r="U366" i="2"/>
  <c r="U364" i="2"/>
  <c r="U362" i="2"/>
  <c r="U360" i="2"/>
  <c r="U358" i="2"/>
  <c r="U356" i="2"/>
  <c r="U354" i="2"/>
  <c r="U352" i="2"/>
  <c r="U350" i="2"/>
  <c r="U348" i="2"/>
  <c r="U434" i="2"/>
  <c r="U420" i="2"/>
  <c r="U416" i="2"/>
  <c r="U412" i="2"/>
  <c r="U401" i="2"/>
  <c r="U393" i="2"/>
  <c r="U377" i="2"/>
  <c r="U369" i="2"/>
  <c r="U450" i="2"/>
  <c r="U429" i="2"/>
  <c r="U404" i="2"/>
  <c r="U394" i="2"/>
  <c r="U382" i="2"/>
  <c r="U433" i="2"/>
  <c r="U426" i="2"/>
  <c r="U411" i="2"/>
  <c r="U389" i="2"/>
  <c r="U384" i="2"/>
  <c r="U379" i="2"/>
  <c r="U365" i="2"/>
  <c r="U357" i="2"/>
  <c r="U349" i="2"/>
  <c r="U437" i="2"/>
  <c r="U406" i="2"/>
  <c r="U396" i="2"/>
  <c r="U386" i="2"/>
  <c r="U374" i="2"/>
  <c r="U415" i="2"/>
  <c r="U414" i="2"/>
  <c r="U408" i="2"/>
  <c r="U403" i="2"/>
  <c r="U381" i="2"/>
  <c r="U376" i="2"/>
  <c r="U371" i="2"/>
  <c r="U367" i="2"/>
  <c r="U359" i="2"/>
  <c r="U351" i="2"/>
  <c r="U347" i="2"/>
  <c r="U345" i="2"/>
  <c r="U343" i="2"/>
  <c r="U341" i="2"/>
  <c r="U339" i="2"/>
  <c r="U337" i="2"/>
  <c r="U335" i="2"/>
  <c r="U333" i="2"/>
  <c r="U331" i="2"/>
  <c r="U329" i="2"/>
  <c r="U327" i="2"/>
  <c r="U325" i="2"/>
  <c r="U323" i="2"/>
  <c r="U321" i="2"/>
  <c r="U319" i="2"/>
  <c r="U317" i="2"/>
  <c r="U313" i="2"/>
  <c r="U311" i="2"/>
  <c r="U309" i="2"/>
  <c r="U307" i="2"/>
  <c r="U305" i="2"/>
  <c r="U303" i="2"/>
  <c r="U301" i="2"/>
  <c r="U299" i="2"/>
  <c r="U297" i="2"/>
  <c r="U441" i="2"/>
  <c r="U410" i="2"/>
  <c r="U398" i="2"/>
  <c r="U388" i="2"/>
  <c r="U378" i="2"/>
  <c r="U419" i="2"/>
  <c r="U418" i="2"/>
  <c r="U405" i="2"/>
  <c r="U400" i="2"/>
  <c r="U395" i="2"/>
  <c r="U373" i="2"/>
  <c r="U368" i="2"/>
  <c r="U361" i="2"/>
  <c r="U353" i="2"/>
  <c r="U445" i="2"/>
  <c r="U402" i="2"/>
  <c r="U390" i="2"/>
  <c r="U380" i="2"/>
  <c r="U370" i="2"/>
  <c r="U442" i="2"/>
  <c r="U423" i="2"/>
  <c r="U422" i="2"/>
  <c r="U397" i="2"/>
  <c r="U392" i="2"/>
  <c r="U387" i="2"/>
  <c r="U363" i="2"/>
  <c r="U355" i="2"/>
  <c r="U346" i="2"/>
  <c r="U344" i="2"/>
  <c r="U342" i="2"/>
  <c r="U340" i="2"/>
  <c r="U338" i="2"/>
  <c r="U336" i="2"/>
  <c r="U334" i="2"/>
  <c r="U332" i="2"/>
  <c r="U328" i="2"/>
  <c r="U326" i="2"/>
  <c r="U324" i="2"/>
  <c r="U322" i="2"/>
  <c r="U320" i="2"/>
  <c r="U318" i="2"/>
  <c r="U316" i="2"/>
  <c r="U314" i="2"/>
  <c r="U312" i="2"/>
  <c r="U308" i="2"/>
  <c r="U306" i="2"/>
  <c r="U304" i="2"/>
  <c r="U300" i="2"/>
  <c r="U298" i="2"/>
  <c r="U296" i="2"/>
  <c r="U294" i="2"/>
  <c r="U292" i="2"/>
  <c r="U290" i="2"/>
  <c r="U288" i="2"/>
  <c r="U286" i="2"/>
  <c r="U282" i="2"/>
  <c r="U280" i="2"/>
  <c r="U278" i="2"/>
  <c r="U276" i="2"/>
  <c r="U274" i="2"/>
  <c r="U272" i="2"/>
  <c r="U270" i="2"/>
  <c r="U268" i="2"/>
  <c r="U266" i="2"/>
  <c r="U264" i="2"/>
  <c r="U262" i="2"/>
  <c r="U260" i="2"/>
  <c r="U258" i="2"/>
  <c r="U256" i="2"/>
  <c r="U254" i="2"/>
  <c r="U252" i="2"/>
  <c r="U250" i="2"/>
  <c r="U248" i="2"/>
  <c r="U244" i="2"/>
  <c r="U240" i="2"/>
  <c r="U238" i="2"/>
  <c r="U236" i="2"/>
  <c r="U234" i="2"/>
  <c r="U232" i="2"/>
  <c r="U230" i="2"/>
  <c r="U228" i="2"/>
  <c r="U226" i="2"/>
  <c r="U224" i="2"/>
  <c r="U222" i="2"/>
  <c r="U220" i="2"/>
  <c r="U218" i="2"/>
  <c r="U216" i="2"/>
  <c r="U214" i="2"/>
  <c r="U295" i="2"/>
  <c r="U293" i="2"/>
  <c r="U291" i="2"/>
  <c r="U289" i="2"/>
  <c r="U287" i="2"/>
  <c r="U285" i="2"/>
  <c r="U283" i="2"/>
  <c r="U281" i="2"/>
  <c r="U279" i="2"/>
  <c r="U277" i="2"/>
  <c r="U275" i="2"/>
  <c r="U273" i="2"/>
  <c r="U271" i="2"/>
  <c r="U269" i="2"/>
  <c r="U267" i="2"/>
  <c r="U265" i="2"/>
  <c r="U263" i="2"/>
  <c r="U261" i="2"/>
  <c r="U259" i="2"/>
  <c r="U257" i="2"/>
  <c r="U255" i="2"/>
  <c r="U253" i="2"/>
  <c r="U249" i="2"/>
  <c r="U247" i="2"/>
  <c r="U245" i="2"/>
  <c r="U243" i="2"/>
  <c r="U241" i="2"/>
  <c r="U239" i="2"/>
  <c r="U237" i="2"/>
  <c r="U235" i="2"/>
  <c r="U233" i="2"/>
  <c r="U231" i="2"/>
  <c r="U229" i="2"/>
  <c r="U227" i="2"/>
  <c r="U225" i="2"/>
  <c r="U223" i="2"/>
  <c r="U221" i="2"/>
  <c r="U219" i="2"/>
  <c r="U217" i="2"/>
  <c r="U215" i="2"/>
  <c r="U107" i="2"/>
  <c r="U105" i="2"/>
  <c r="U30" i="2"/>
  <c r="U28" i="2"/>
  <c r="U26" i="2"/>
  <c r="U103" i="2"/>
  <c r="U95" i="2"/>
  <c r="U106" i="2"/>
  <c r="U31" i="2"/>
  <c r="U29" i="2"/>
  <c r="U104" i="2"/>
  <c r="U102" i="2"/>
  <c r="I437" i="1"/>
  <c r="I434" i="1" s="1"/>
  <c r="I410" i="1" s="1"/>
  <c r="Q465" i="1"/>
  <c r="E73" i="2"/>
  <c r="E22" i="2"/>
  <c r="E19" i="2"/>
  <c r="E17" i="2"/>
  <c r="E15" i="2"/>
  <c r="E13" i="2"/>
  <c r="E14" i="2" s="1"/>
  <c r="E5" i="2"/>
  <c r="E3" i="2"/>
  <c r="E75" i="2"/>
  <c r="E25" i="2"/>
  <c r="E18" i="2"/>
  <c r="E16" i="2"/>
  <c r="E74" i="2"/>
  <c r="E34" i="2"/>
  <c r="R69" i="2"/>
  <c r="R61" i="2"/>
  <c r="R53" i="2"/>
  <c r="R27" i="2"/>
  <c r="R16" i="2"/>
  <c r="R49" i="2"/>
  <c r="R71" i="2"/>
  <c r="R63" i="2"/>
  <c r="R55" i="2"/>
  <c r="R65" i="2"/>
  <c r="R57" i="2"/>
  <c r="R7" i="2"/>
  <c r="R67" i="2"/>
  <c r="R59" i="2"/>
  <c r="R51" i="2"/>
  <c r="R47" i="2"/>
  <c r="J4" i="2"/>
  <c r="J82" i="2"/>
  <c r="J80" i="2"/>
  <c r="J78" i="2"/>
  <c r="J84" i="2"/>
  <c r="J81" i="2"/>
  <c r="J79" i="2"/>
  <c r="J77" i="2"/>
  <c r="R4" i="2"/>
  <c r="R83" i="2"/>
  <c r="R82" i="2"/>
  <c r="R80" i="2"/>
  <c r="R78" i="2"/>
  <c r="R81" i="2"/>
  <c r="R79" i="2"/>
  <c r="R77" i="2"/>
  <c r="F688" i="2"/>
  <c r="F686" i="2"/>
  <c r="F684" i="2"/>
  <c r="F682" i="2"/>
  <c r="F680" i="2"/>
  <c r="F676" i="2"/>
  <c r="F674" i="2"/>
  <c r="F672" i="2"/>
  <c r="F685" i="2"/>
  <c r="F670" i="2"/>
  <c r="F669" i="2"/>
  <c r="F689" i="2"/>
  <c r="F681" i="2"/>
  <c r="F677" i="2"/>
  <c r="F671" i="2"/>
  <c r="F675" i="2"/>
  <c r="F673" i="2"/>
  <c r="F664" i="2"/>
  <c r="F655" i="2"/>
  <c r="F650" i="2"/>
  <c r="F667" i="2"/>
  <c r="F660" i="2"/>
  <c r="F651" i="2"/>
  <c r="F665" i="2"/>
  <c r="F658" i="2"/>
  <c r="F648" i="2"/>
  <c r="F646" i="2"/>
  <c r="F644" i="2"/>
  <c r="F638" i="2"/>
  <c r="F668" i="2"/>
  <c r="F661" i="2"/>
  <c r="F657" i="2"/>
  <c r="F630" i="2"/>
  <c r="F687" i="2"/>
  <c r="F649" i="2"/>
  <c r="F636" i="2"/>
  <c r="F632" i="2"/>
  <c r="F683" i="2"/>
  <c r="F666" i="2"/>
  <c r="F647" i="2"/>
  <c r="F634" i="2"/>
  <c r="F612" i="2"/>
  <c r="F600" i="2"/>
  <c r="F598" i="2"/>
  <c r="F596" i="2"/>
  <c r="F594" i="2"/>
  <c r="F592" i="2"/>
  <c r="F590" i="2"/>
  <c r="F588" i="2"/>
  <c r="F586" i="2"/>
  <c r="F584" i="2"/>
  <c r="F582" i="2"/>
  <c r="F580" i="2"/>
  <c r="F578" i="2"/>
  <c r="F576" i="2"/>
  <c r="F574" i="2"/>
  <c r="F572" i="2"/>
  <c r="F679" i="2"/>
  <c r="F662" i="2"/>
  <c r="F653" i="2"/>
  <c r="F659" i="2"/>
  <c r="F654" i="2"/>
  <c r="F643" i="2"/>
  <c r="F640" i="2"/>
  <c r="F624" i="2"/>
  <c r="F616" i="2"/>
  <c r="F593" i="2"/>
  <c r="F577" i="2"/>
  <c r="F631" i="2"/>
  <c r="F627" i="2"/>
  <c r="F620" i="2"/>
  <c r="F605" i="2"/>
  <c r="F604" i="2"/>
  <c r="F635" i="2"/>
  <c r="F626" i="2"/>
  <c r="F623" i="2"/>
  <c r="F601" i="2"/>
  <c r="F562" i="2"/>
  <c r="F652" i="2"/>
  <c r="F639" i="2"/>
  <c r="F642" i="2"/>
  <c r="F637" i="2"/>
  <c r="F629" i="2"/>
  <c r="F621" i="2"/>
  <c r="F617" i="2"/>
  <c r="F611" i="2"/>
  <c r="F599" i="2"/>
  <c r="F559" i="2"/>
  <c r="F557" i="2"/>
  <c r="F555" i="2"/>
  <c r="F553" i="2"/>
  <c r="F551" i="2"/>
  <c r="F549" i="2"/>
  <c r="F633" i="2"/>
  <c r="F595" i="2"/>
  <c r="F579" i="2"/>
  <c r="F554" i="2"/>
  <c r="F641" i="2"/>
  <c r="F618" i="2"/>
  <c r="F597" i="2"/>
  <c r="F628" i="2"/>
  <c r="F622" i="2"/>
  <c r="F587" i="2"/>
  <c r="F566" i="2"/>
  <c r="F563" i="2"/>
  <c r="F558" i="2"/>
  <c r="F550" i="2"/>
  <c r="F583" i="2"/>
  <c r="F570" i="2"/>
  <c r="F546" i="2"/>
  <c r="F538" i="2"/>
  <c r="F530" i="2"/>
  <c r="F529" i="2"/>
  <c r="F527" i="2"/>
  <c r="F525" i="2"/>
  <c r="F523" i="2"/>
  <c r="F521" i="2"/>
  <c r="F519" i="2"/>
  <c r="F517" i="2"/>
  <c r="F515" i="2"/>
  <c r="F513" i="2"/>
  <c r="F511" i="2"/>
  <c r="F509" i="2"/>
  <c r="F609" i="2"/>
  <c r="F606" i="2"/>
  <c r="F565" i="2"/>
  <c r="F547" i="2"/>
  <c r="F539" i="2"/>
  <c r="F531" i="2"/>
  <c r="F663" i="2"/>
  <c r="F645" i="2"/>
  <c r="F615" i="2"/>
  <c r="F603" i="2"/>
  <c r="F591" i="2"/>
  <c r="F564" i="2"/>
  <c r="F541" i="2"/>
  <c r="F533" i="2"/>
  <c r="F613" i="2"/>
  <c r="F610" i="2"/>
  <c r="F607" i="2"/>
  <c r="F585" i="2"/>
  <c r="F537" i="2"/>
  <c r="F656" i="2"/>
  <c r="F573" i="2"/>
  <c r="F540" i="2"/>
  <c r="F534" i="2"/>
  <c r="F520" i="2"/>
  <c r="F512" i="2"/>
  <c r="F571" i="2"/>
  <c r="F518" i="2"/>
  <c r="F567" i="2"/>
  <c r="F543" i="2"/>
  <c r="F528" i="2"/>
  <c r="F516" i="2"/>
  <c r="F568" i="2"/>
  <c r="F556" i="2"/>
  <c r="F508" i="2"/>
  <c r="F614" i="2"/>
  <c r="F575" i="2"/>
  <c r="F535" i="2"/>
  <c r="F545" i="2"/>
  <c r="F505" i="2"/>
  <c r="F503" i="2"/>
  <c r="F501" i="2"/>
  <c r="F497" i="2"/>
  <c r="F495" i="2"/>
  <c r="F493" i="2"/>
  <c r="F491" i="2"/>
  <c r="F489" i="2"/>
  <c r="F487" i="2"/>
  <c r="F485" i="2"/>
  <c r="F483" i="2"/>
  <c r="F481" i="2"/>
  <c r="F479" i="2"/>
  <c r="F477" i="2"/>
  <c r="F475" i="2"/>
  <c r="F473" i="2"/>
  <c r="F471" i="2"/>
  <c r="F469" i="2"/>
  <c r="F467" i="2"/>
  <c r="F465" i="2"/>
  <c r="F463" i="2"/>
  <c r="F461" i="2"/>
  <c r="F459" i="2"/>
  <c r="F457" i="2"/>
  <c r="F455" i="2"/>
  <c r="F453" i="2"/>
  <c r="F451" i="2"/>
  <c r="F449" i="2"/>
  <c r="F447" i="2"/>
  <c r="F445" i="2"/>
  <c r="F443" i="2"/>
  <c r="F441" i="2"/>
  <c r="F439" i="2"/>
  <c r="F437" i="2"/>
  <c r="F435" i="2"/>
  <c r="F433" i="2"/>
  <c r="F431" i="2"/>
  <c r="F429" i="2"/>
  <c r="F427" i="2"/>
  <c r="F619" i="2"/>
  <c r="F548" i="2"/>
  <c r="F536" i="2"/>
  <c r="F524" i="2"/>
  <c r="F560" i="2"/>
  <c r="F510" i="2"/>
  <c r="F608" i="2"/>
  <c r="F552" i="2"/>
  <c r="F544" i="2"/>
  <c r="F532" i="2"/>
  <c r="F514" i="2"/>
  <c r="F506" i="2"/>
  <c r="F504" i="2"/>
  <c r="F502" i="2"/>
  <c r="F500" i="2"/>
  <c r="F498" i="2"/>
  <c r="F496" i="2"/>
  <c r="F494" i="2"/>
  <c r="F492" i="2"/>
  <c r="F490" i="2"/>
  <c r="F488" i="2"/>
  <c r="F486" i="2"/>
  <c r="F482" i="2"/>
  <c r="F480" i="2"/>
  <c r="F478" i="2"/>
  <c r="F476" i="2"/>
  <c r="F474" i="2"/>
  <c r="F472" i="2"/>
  <c r="F470" i="2"/>
  <c r="F468" i="2"/>
  <c r="F466" i="2"/>
  <c r="F464" i="2"/>
  <c r="F462" i="2"/>
  <c r="F460" i="2"/>
  <c r="F458" i="2"/>
  <c r="F454" i="2"/>
  <c r="F452" i="2"/>
  <c r="F450" i="2"/>
  <c r="F448" i="2"/>
  <c r="F446" i="2"/>
  <c r="F444" i="2"/>
  <c r="F442" i="2"/>
  <c r="F440" i="2"/>
  <c r="F436" i="2"/>
  <c r="F434" i="2"/>
  <c r="F432" i="2"/>
  <c r="F430" i="2"/>
  <c r="F428" i="2"/>
  <c r="F404" i="2"/>
  <c r="F396" i="2"/>
  <c r="F388" i="2"/>
  <c r="F380" i="2"/>
  <c r="F406" i="2"/>
  <c r="F398" i="2"/>
  <c r="F390" i="2"/>
  <c r="F382" i="2"/>
  <c r="F374" i="2"/>
  <c r="F415" i="2"/>
  <c r="F414" i="2"/>
  <c r="F399" i="2"/>
  <c r="F387" i="2"/>
  <c r="F377" i="2"/>
  <c r="F368" i="2"/>
  <c r="F416" i="2"/>
  <c r="F394" i="2"/>
  <c r="F389" i="2"/>
  <c r="F384" i="2"/>
  <c r="F419" i="2"/>
  <c r="F418" i="2"/>
  <c r="F417" i="2"/>
  <c r="F411" i="2"/>
  <c r="F401" i="2"/>
  <c r="F391" i="2"/>
  <c r="F379" i="2"/>
  <c r="F369" i="2"/>
  <c r="F363" i="2"/>
  <c r="F362" i="2"/>
  <c r="F355" i="2"/>
  <c r="F354" i="2"/>
  <c r="F347" i="2"/>
  <c r="F345" i="2"/>
  <c r="F343" i="2"/>
  <c r="F341" i="2"/>
  <c r="F339" i="2"/>
  <c r="F337" i="2"/>
  <c r="F335" i="2"/>
  <c r="F333" i="2"/>
  <c r="F420" i="2"/>
  <c r="F408" i="2"/>
  <c r="F386" i="2"/>
  <c r="F381" i="2"/>
  <c r="F376" i="2"/>
  <c r="F423" i="2"/>
  <c r="F422" i="2"/>
  <c r="F421" i="2"/>
  <c r="F403" i="2"/>
  <c r="F393" i="2"/>
  <c r="F383" i="2"/>
  <c r="F371" i="2"/>
  <c r="F410" i="2"/>
  <c r="F405" i="2"/>
  <c r="F400" i="2"/>
  <c r="F378" i="2"/>
  <c r="F373" i="2"/>
  <c r="F426" i="2"/>
  <c r="F425" i="2"/>
  <c r="F407" i="2"/>
  <c r="F395" i="2"/>
  <c r="F375" i="2"/>
  <c r="F367" i="2"/>
  <c r="F366" i="2"/>
  <c r="F359" i="2"/>
  <c r="F358" i="2"/>
  <c r="F351" i="2"/>
  <c r="F350" i="2"/>
  <c r="F348" i="2"/>
  <c r="F346" i="2"/>
  <c r="F344" i="2"/>
  <c r="F342" i="2"/>
  <c r="F340" i="2"/>
  <c r="F338" i="2"/>
  <c r="F336" i="2"/>
  <c r="F334" i="2"/>
  <c r="F332" i="2"/>
  <c r="F412" i="2"/>
  <c r="F402" i="2"/>
  <c r="F397" i="2"/>
  <c r="F392" i="2"/>
  <c r="F370" i="2"/>
  <c r="F357" i="2"/>
  <c r="F331" i="2"/>
  <c r="F323" i="2"/>
  <c r="F307" i="2"/>
  <c r="F299" i="2"/>
  <c r="F361" i="2"/>
  <c r="F324" i="2"/>
  <c r="F316" i="2"/>
  <c r="F308" i="2"/>
  <c r="F300" i="2"/>
  <c r="F365" i="2"/>
  <c r="F325" i="2"/>
  <c r="F317" i="2"/>
  <c r="F309" i="2"/>
  <c r="F301" i="2"/>
  <c r="F296" i="2"/>
  <c r="F294" i="2"/>
  <c r="F292" i="2"/>
  <c r="F290" i="2"/>
  <c r="F288" i="2"/>
  <c r="F286" i="2"/>
  <c r="F282" i="2"/>
  <c r="F280" i="2"/>
  <c r="F278" i="2"/>
  <c r="F276" i="2"/>
  <c r="F274" i="2"/>
  <c r="F272" i="2"/>
  <c r="F270" i="2"/>
  <c r="F268" i="2"/>
  <c r="F352" i="2"/>
  <c r="F326" i="2"/>
  <c r="F318" i="2"/>
  <c r="F356" i="2"/>
  <c r="F327" i="2"/>
  <c r="F319" i="2"/>
  <c r="F311" i="2"/>
  <c r="F303" i="2"/>
  <c r="F360" i="2"/>
  <c r="F328" i="2"/>
  <c r="F320" i="2"/>
  <c r="F312" i="2"/>
  <c r="F304" i="2"/>
  <c r="F364" i="2"/>
  <c r="F349" i="2"/>
  <c r="F329" i="2"/>
  <c r="F321" i="2"/>
  <c r="F313" i="2"/>
  <c r="F305" i="2"/>
  <c r="F295" i="2"/>
  <c r="F293" i="2"/>
  <c r="F291" i="2"/>
  <c r="F289" i="2"/>
  <c r="F287" i="2"/>
  <c r="F285" i="2"/>
  <c r="F283" i="2"/>
  <c r="F281" i="2"/>
  <c r="F279" i="2"/>
  <c r="F277" i="2"/>
  <c r="F275" i="2"/>
  <c r="F273" i="2"/>
  <c r="F271" i="2"/>
  <c r="F269" i="2"/>
  <c r="F267" i="2"/>
  <c r="F353" i="2"/>
  <c r="F322" i="2"/>
  <c r="F314" i="2"/>
  <c r="F306" i="2"/>
  <c r="F298" i="2"/>
  <c r="F297" i="2"/>
  <c r="F243" i="2"/>
  <c r="F235" i="2"/>
  <c r="F227" i="2"/>
  <c r="F219" i="2"/>
  <c r="F265" i="2"/>
  <c r="F261" i="2"/>
  <c r="F257" i="2"/>
  <c r="F253" i="2"/>
  <c r="F249" i="2"/>
  <c r="F244" i="2"/>
  <c r="F236" i="2"/>
  <c r="F228" i="2"/>
  <c r="F220" i="2"/>
  <c r="F245" i="2"/>
  <c r="F237" i="2"/>
  <c r="F229" i="2"/>
  <c r="F221" i="2"/>
  <c r="F264" i="2"/>
  <c r="F260" i="2"/>
  <c r="F256" i="2"/>
  <c r="F252" i="2"/>
  <c r="F248" i="2"/>
  <c r="F238" i="2"/>
  <c r="F230" i="2"/>
  <c r="F222" i="2"/>
  <c r="F214" i="2"/>
  <c r="F239" i="2"/>
  <c r="F231" i="2"/>
  <c r="F223" i="2"/>
  <c r="F215" i="2"/>
  <c r="F263" i="2"/>
  <c r="F259" i="2"/>
  <c r="F255" i="2"/>
  <c r="F247" i="2"/>
  <c r="F240" i="2"/>
  <c r="F232" i="2"/>
  <c r="F224" i="2"/>
  <c r="F216" i="2"/>
  <c r="F241" i="2"/>
  <c r="F233" i="2"/>
  <c r="F225" i="2"/>
  <c r="F217" i="2"/>
  <c r="F266" i="2"/>
  <c r="F262" i="2"/>
  <c r="F258" i="2"/>
  <c r="F254" i="2"/>
  <c r="F250" i="2"/>
  <c r="F246" i="2"/>
  <c r="F234" i="2"/>
  <c r="F226" i="2"/>
  <c r="F218" i="2"/>
  <c r="F32" i="2"/>
  <c r="F30" i="2"/>
  <c r="F28" i="2"/>
  <c r="F26" i="2"/>
  <c r="F103" i="2"/>
  <c r="F95" i="2"/>
  <c r="F106" i="2"/>
  <c r="F31" i="2"/>
  <c r="F29" i="2"/>
  <c r="F27" i="2"/>
  <c r="F104" i="2"/>
  <c r="F102" i="2"/>
  <c r="F107" i="2"/>
  <c r="N688" i="2"/>
  <c r="N686" i="2"/>
  <c r="N684" i="2"/>
  <c r="N682" i="2"/>
  <c r="N680" i="2"/>
  <c r="N676" i="2"/>
  <c r="N674" i="2"/>
  <c r="N672" i="2"/>
  <c r="N679" i="2"/>
  <c r="N675" i="2"/>
  <c r="N673" i="2"/>
  <c r="N670" i="2"/>
  <c r="N669" i="2"/>
  <c r="N681" i="2"/>
  <c r="N661" i="2"/>
  <c r="N654" i="2"/>
  <c r="N687" i="2"/>
  <c r="N666" i="2"/>
  <c r="N657" i="2"/>
  <c r="N650" i="2"/>
  <c r="N649" i="2"/>
  <c r="N685" i="2"/>
  <c r="N664" i="2"/>
  <c r="N655" i="2"/>
  <c r="N653" i="2"/>
  <c r="N651" i="2"/>
  <c r="N647" i="2"/>
  <c r="N643" i="2"/>
  <c r="N667" i="2"/>
  <c r="N665" i="2"/>
  <c r="N663" i="2"/>
  <c r="N644" i="2"/>
  <c r="N636" i="2"/>
  <c r="N662" i="2"/>
  <c r="N658" i="2"/>
  <c r="N645" i="2"/>
  <c r="N640" i="2"/>
  <c r="N628" i="2"/>
  <c r="N683" i="2"/>
  <c r="N659" i="2"/>
  <c r="N635" i="2"/>
  <c r="N630" i="2"/>
  <c r="N660" i="2"/>
  <c r="N648" i="2"/>
  <c r="N638" i="2"/>
  <c r="N637" i="2"/>
  <c r="N607" i="2"/>
  <c r="N600" i="2"/>
  <c r="N598" i="2"/>
  <c r="N596" i="2"/>
  <c r="N594" i="2"/>
  <c r="N592" i="2"/>
  <c r="N590" i="2"/>
  <c r="N588" i="2"/>
  <c r="N586" i="2"/>
  <c r="N584" i="2"/>
  <c r="N582" i="2"/>
  <c r="N580" i="2"/>
  <c r="N578" i="2"/>
  <c r="N576" i="2"/>
  <c r="N574" i="2"/>
  <c r="N572" i="2"/>
  <c r="N570" i="2"/>
  <c r="N656" i="2"/>
  <c r="N621" i="2"/>
  <c r="N618" i="2"/>
  <c r="N609" i="2"/>
  <c r="N608" i="2"/>
  <c r="N599" i="2"/>
  <c r="N583" i="2"/>
  <c r="N642" i="2"/>
  <c r="N634" i="2"/>
  <c r="N629" i="2"/>
  <c r="N613" i="2"/>
  <c r="N668" i="2"/>
  <c r="N606" i="2"/>
  <c r="N597" i="2"/>
  <c r="N585" i="2"/>
  <c r="N573" i="2"/>
  <c r="N568" i="2"/>
  <c r="N563" i="2"/>
  <c r="N632" i="2"/>
  <c r="N631" i="2"/>
  <c r="N646" i="2"/>
  <c r="N619" i="2"/>
  <c r="N615" i="2"/>
  <c r="N612" i="2"/>
  <c r="N605" i="2"/>
  <c r="N601" i="2"/>
  <c r="N566" i="2"/>
  <c r="N559" i="2"/>
  <c r="N557" i="2"/>
  <c r="N555" i="2"/>
  <c r="N553" i="2"/>
  <c r="N551" i="2"/>
  <c r="N549" i="2"/>
  <c r="N652" i="2"/>
  <c r="N641" i="2"/>
  <c r="N627" i="2"/>
  <c r="N620" i="2"/>
  <c r="N560" i="2"/>
  <c r="N552" i="2"/>
  <c r="N622" i="2"/>
  <c r="N591" i="2"/>
  <c r="N626" i="2"/>
  <c r="N624" i="2"/>
  <c r="N614" i="2"/>
  <c r="N595" i="2"/>
  <c r="N565" i="2"/>
  <c r="N556" i="2"/>
  <c r="N548" i="2"/>
  <c r="N593" i="2"/>
  <c r="N577" i="2"/>
  <c r="N544" i="2"/>
  <c r="N536" i="2"/>
  <c r="N527" i="2"/>
  <c r="N525" i="2"/>
  <c r="N523" i="2"/>
  <c r="N521" i="2"/>
  <c r="N519" i="2"/>
  <c r="N517" i="2"/>
  <c r="N515" i="2"/>
  <c r="N513" i="2"/>
  <c r="N511" i="2"/>
  <c r="N509" i="2"/>
  <c r="N677" i="2"/>
  <c r="N639" i="2"/>
  <c r="N575" i="2"/>
  <c r="N550" i="2"/>
  <c r="N545" i="2"/>
  <c r="N537" i="2"/>
  <c r="N529" i="2"/>
  <c r="N610" i="2"/>
  <c r="N604" i="2"/>
  <c r="N567" i="2"/>
  <c r="N623" i="2"/>
  <c r="N616" i="2"/>
  <c r="N562" i="2"/>
  <c r="N547" i="2"/>
  <c r="N539" i="2"/>
  <c r="N531" i="2"/>
  <c r="N671" i="2"/>
  <c r="N633" i="2"/>
  <c r="N611" i="2"/>
  <c r="N603" i="2"/>
  <c r="N579" i="2"/>
  <c r="N534" i="2"/>
  <c r="N617" i="2"/>
  <c r="N510" i="2"/>
  <c r="N564" i="2"/>
  <c r="N558" i="2"/>
  <c r="N554" i="2"/>
  <c r="N543" i="2"/>
  <c r="N524" i="2"/>
  <c r="N546" i="2"/>
  <c r="N540" i="2"/>
  <c r="N535" i="2"/>
  <c r="N518" i="2"/>
  <c r="N514" i="2"/>
  <c r="N571" i="2"/>
  <c r="N533" i="2"/>
  <c r="N506" i="2"/>
  <c r="N538" i="2"/>
  <c r="N528" i="2"/>
  <c r="N541" i="2"/>
  <c r="N520" i="2"/>
  <c r="N505" i="2"/>
  <c r="N503" i="2"/>
  <c r="N501" i="2"/>
  <c r="N497" i="2"/>
  <c r="N495" i="2"/>
  <c r="N493" i="2"/>
  <c r="N491" i="2"/>
  <c r="N489" i="2"/>
  <c r="N487" i="2"/>
  <c r="N485" i="2"/>
  <c r="N483" i="2"/>
  <c r="N481" i="2"/>
  <c r="N479" i="2"/>
  <c r="N477" i="2"/>
  <c r="N475" i="2"/>
  <c r="N473" i="2"/>
  <c r="N471" i="2"/>
  <c r="N469" i="2"/>
  <c r="N467" i="2"/>
  <c r="N465" i="2"/>
  <c r="N463" i="2"/>
  <c r="N461" i="2"/>
  <c r="N459" i="2"/>
  <c r="N457" i="2"/>
  <c r="N455" i="2"/>
  <c r="N453" i="2"/>
  <c r="N451" i="2"/>
  <c r="N449" i="2"/>
  <c r="N447" i="2"/>
  <c r="N445" i="2"/>
  <c r="N443" i="2"/>
  <c r="N441" i="2"/>
  <c r="N439" i="2"/>
  <c r="N437" i="2"/>
  <c r="N435" i="2"/>
  <c r="N433" i="2"/>
  <c r="N431" i="2"/>
  <c r="N429" i="2"/>
  <c r="N427" i="2"/>
  <c r="N516" i="2"/>
  <c r="N508" i="2"/>
  <c r="N532" i="2"/>
  <c r="N587" i="2"/>
  <c r="N530" i="2"/>
  <c r="N512" i="2"/>
  <c r="N504" i="2"/>
  <c r="N502" i="2"/>
  <c r="N500" i="2"/>
  <c r="N498" i="2"/>
  <c r="N496" i="2"/>
  <c r="N494" i="2"/>
  <c r="N492" i="2"/>
  <c r="N490" i="2"/>
  <c r="N488" i="2"/>
  <c r="N486" i="2"/>
  <c r="N482" i="2"/>
  <c r="N480" i="2"/>
  <c r="N478" i="2"/>
  <c r="N476" i="2"/>
  <c r="N474" i="2"/>
  <c r="N472" i="2"/>
  <c r="N470" i="2"/>
  <c r="N468" i="2"/>
  <c r="N466" i="2"/>
  <c r="N464" i="2"/>
  <c r="N462" i="2"/>
  <c r="N460" i="2"/>
  <c r="N458" i="2"/>
  <c r="N454" i="2"/>
  <c r="N452" i="2"/>
  <c r="N450" i="2"/>
  <c r="N448" i="2"/>
  <c r="N446" i="2"/>
  <c r="N444" i="2"/>
  <c r="N442" i="2"/>
  <c r="N440" i="2"/>
  <c r="N436" i="2"/>
  <c r="N434" i="2"/>
  <c r="N432" i="2"/>
  <c r="N430" i="2"/>
  <c r="N428" i="2"/>
  <c r="N410" i="2"/>
  <c r="N402" i="2"/>
  <c r="N394" i="2"/>
  <c r="N386" i="2"/>
  <c r="N378" i="2"/>
  <c r="N370" i="2"/>
  <c r="N404" i="2"/>
  <c r="N396" i="2"/>
  <c r="N388" i="2"/>
  <c r="N380" i="2"/>
  <c r="N421" i="2"/>
  <c r="N420" i="2"/>
  <c r="N419" i="2"/>
  <c r="N405" i="2"/>
  <c r="N393" i="2"/>
  <c r="N383" i="2"/>
  <c r="N373" i="2"/>
  <c r="N367" i="2"/>
  <c r="N366" i="2"/>
  <c r="N422" i="2"/>
  <c r="N400" i="2"/>
  <c r="N395" i="2"/>
  <c r="N390" i="2"/>
  <c r="N425" i="2"/>
  <c r="N423" i="2"/>
  <c r="N407" i="2"/>
  <c r="N397" i="2"/>
  <c r="N375" i="2"/>
  <c r="N368" i="2"/>
  <c r="N361" i="2"/>
  <c r="N360" i="2"/>
  <c r="N353" i="2"/>
  <c r="N352" i="2"/>
  <c r="N347" i="2"/>
  <c r="N345" i="2"/>
  <c r="N343" i="2"/>
  <c r="N341" i="2"/>
  <c r="N339" i="2"/>
  <c r="N337" i="2"/>
  <c r="N335" i="2"/>
  <c r="N333" i="2"/>
  <c r="N426" i="2"/>
  <c r="N392" i="2"/>
  <c r="N387" i="2"/>
  <c r="N382" i="2"/>
  <c r="N412" i="2"/>
  <c r="N399" i="2"/>
  <c r="N389" i="2"/>
  <c r="N377" i="2"/>
  <c r="N414" i="2"/>
  <c r="N411" i="2"/>
  <c r="N406" i="2"/>
  <c r="N384" i="2"/>
  <c r="N379" i="2"/>
  <c r="N374" i="2"/>
  <c r="N417" i="2"/>
  <c r="N416" i="2"/>
  <c r="N415" i="2"/>
  <c r="N401" i="2"/>
  <c r="N391" i="2"/>
  <c r="N381" i="2"/>
  <c r="N369" i="2"/>
  <c r="N365" i="2"/>
  <c r="N364" i="2"/>
  <c r="N357" i="2"/>
  <c r="N356" i="2"/>
  <c r="N349" i="2"/>
  <c r="N348" i="2"/>
  <c r="N346" i="2"/>
  <c r="N344" i="2"/>
  <c r="N342" i="2"/>
  <c r="N340" i="2"/>
  <c r="N338" i="2"/>
  <c r="N336" i="2"/>
  <c r="N334" i="2"/>
  <c r="N332" i="2"/>
  <c r="N418" i="2"/>
  <c r="N408" i="2"/>
  <c r="N403" i="2"/>
  <c r="N398" i="2"/>
  <c r="N376" i="2"/>
  <c r="N371" i="2"/>
  <c r="N363" i="2"/>
  <c r="N329" i="2"/>
  <c r="N321" i="2"/>
  <c r="N313" i="2"/>
  <c r="N305" i="2"/>
  <c r="N297" i="2"/>
  <c r="N350" i="2"/>
  <c r="N322" i="2"/>
  <c r="N314" i="2"/>
  <c r="N306" i="2"/>
  <c r="N298" i="2"/>
  <c r="N354" i="2"/>
  <c r="N331" i="2"/>
  <c r="N323" i="2"/>
  <c r="N307" i="2"/>
  <c r="N299" i="2"/>
  <c r="N296" i="2"/>
  <c r="N294" i="2"/>
  <c r="N292" i="2"/>
  <c r="N290" i="2"/>
  <c r="N288" i="2"/>
  <c r="N286" i="2"/>
  <c r="N282" i="2"/>
  <c r="N280" i="2"/>
  <c r="N278" i="2"/>
  <c r="N276" i="2"/>
  <c r="N274" i="2"/>
  <c r="N272" i="2"/>
  <c r="N270" i="2"/>
  <c r="N268" i="2"/>
  <c r="N266" i="2"/>
  <c r="N358" i="2"/>
  <c r="N324" i="2"/>
  <c r="N316" i="2"/>
  <c r="N308" i="2"/>
  <c r="N300" i="2"/>
  <c r="N362" i="2"/>
  <c r="N325" i="2"/>
  <c r="N317" i="2"/>
  <c r="N309" i="2"/>
  <c r="N301" i="2"/>
  <c r="N351" i="2"/>
  <c r="N326" i="2"/>
  <c r="N318" i="2"/>
  <c r="N355" i="2"/>
  <c r="N327" i="2"/>
  <c r="N319" i="2"/>
  <c r="N311" i="2"/>
  <c r="N303" i="2"/>
  <c r="N295" i="2"/>
  <c r="N293" i="2"/>
  <c r="N291" i="2"/>
  <c r="N289" i="2"/>
  <c r="N287" i="2"/>
  <c r="N285" i="2"/>
  <c r="N283" i="2"/>
  <c r="N281" i="2"/>
  <c r="N279" i="2"/>
  <c r="N277" i="2"/>
  <c r="N275" i="2"/>
  <c r="N273" i="2"/>
  <c r="N271" i="2"/>
  <c r="N269" i="2"/>
  <c r="N267" i="2"/>
  <c r="N359" i="2"/>
  <c r="N328" i="2"/>
  <c r="N320" i="2"/>
  <c r="N312" i="2"/>
  <c r="N304" i="2"/>
  <c r="N241" i="2"/>
  <c r="N233" i="2"/>
  <c r="N225" i="2"/>
  <c r="N217" i="2"/>
  <c r="N263" i="2"/>
  <c r="N259" i="2"/>
  <c r="N255" i="2"/>
  <c r="N247" i="2"/>
  <c r="N234" i="2"/>
  <c r="N226" i="2"/>
  <c r="N218" i="2"/>
  <c r="N243" i="2"/>
  <c r="N235" i="2"/>
  <c r="N227" i="2"/>
  <c r="N219" i="2"/>
  <c r="N262" i="2"/>
  <c r="N258" i="2"/>
  <c r="N254" i="2"/>
  <c r="N250" i="2"/>
  <c r="N246" i="2"/>
  <c r="N244" i="2"/>
  <c r="N236" i="2"/>
  <c r="N228" i="2"/>
  <c r="N220" i="2"/>
  <c r="N237" i="2"/>
  <c r="N229" i="2"/>
  <c r="N221" i="2"/>
  <c r="N265" i="2"/>
  <c r="N261" i="2"/>
  <c r="N257" i="2"/>
  <c r="N253" i="2"/>
  <c r="N249" i="2"/>
  <c r="N245" i="2"/>
  <c r="N238" i="2"/>
  <c r="N230" i="2"/>
  <c r="N222" i="2"/>
  <c r="N214" i="2"/>
  <c r="N239" i="2"/>
  <c r="N231" i="2"/>
  <c r="N223" i="2"/>
  <c r="N215" i="2"/>
  <c r="N264" i="2"/>
  <c r="N260" i="2"/>
  <c r="N256" i="2"/>
  <c r="N252" i="2"/>
  <c r="N248" i="2"/>
  <c r="N240" i="2"/>
  <c r="N232" i="2"/>
  <c r="N224" i="2"/>
  <c r="N216" i="2"/>
  <c r="N32" i="2"/>
  <c r="N30" i="2"/>
  <c r="N28" i="2"/>
  <c r="N26" i="2"/>
  <c r="N103" i="2"/>
  <c r="N95" i="2"/>
  <c r="N106" i="2"/>
  <c r="N31" i="2"/>
  <c r="N29" i="2"/>
  <c r="N104" i="2"/>
  <c r="N102" i="2"/>
  <c r="N107" i="2"/>
  <c r="V688" i="2"/>
  <c r="V686" i="2"/>
  <c r="V684" i="2"/>
  <c r="V682" i="2"/>
  <c r="V680" i="2"/>
  <c r="V676" i="2"/>
  <c r="V674" i="2"/>
  <c r="V672" i="2"/>
  <c r="V685" i="2"/>
  <c r="V681" i="2"/>
  <c r="V677" i="2"/>
  <c r="V668" i="2"/>
  <c r="V687" i="2"/>
  <c r="V667" i="2"/>
  <c r="V660" i="2"/>
  <c r="V651" i="2"/>
  <c r="V646" i="2"/>
  <c r="V679" i="2"/>
  <c r="V663" i="2"/>
  <c r="V656" i="2"/>
  <c r="V683" i="2"/>
  <c r="V675" i="2"/>
  <c r="V669" i="2"/>
  <c r="V661" i="2"/>
  <c r="V654" i="2"/>
  <c r="V649" i="2"/>
  <c r="V671" i="2"/>
  <c r="V666" i="2"/>
  <c r="V665" i="2"/>
  <c r="V664" i="2"/>
  <c r="V662" i="2"/>
  <c r="V639" i="2"/>
  <c r="V643" i="2"/>
  <c r="V652" i="2"/>
  <c r="V642" i="2"/>
  <c r="V636" i="2"/>
  <c r="V626" i="2"/>
  <c r="V622" i="2"/>
  <c r="V670" i="2"/>
  <c r="V638" i="2"/>
  <c r="V634" i="2"/>
  <c r="V628" i="2"/>
  <c r="V658" i="2"/>
  <c r="V645" i="2"/>
  <c r="V624" i="2"/>
  <c r="V613" i="2"/>
  <c r="V608" i="2"/>
  <c r="V600" i="2"/>
  <c r="V598" i="2"/>
  <c r="V596" i="2"/>
  <c r="V594" i="2"/>
  <c r="V592" i="2"/>
  <c r="V590" i="2"/>
  <c r="V588" i="2"/>
  <c r="V586" i="2"/>
  <c r="V584" i="2"/>
  <c r="V582" i="2"/>
  <c r="V580" i="2"/>
  <c r="V578" i="2"/>
  <c r="V576" i="2"/>
  <c r="V574" i="2"/>
  <c r="V572" i="2"/>
  <c r="V570" i="2"/>
  <c r="V633" i="2"/>
  <c r="V607" i="2"/>
  <c r="V606" i="2"/>
  <c r="V573" i="2"/>
  <c r="V657" i="2"/>
  <c r="V655" i="2"/>
  <c r="V648" i="2"/>
  <c r="V640" i="2"/>
  <c r="V631" i="2"/>
  <c r="V627" i="2"/>
  <c r="V623" i="2"/>
  <c r="V621" i="2"/>
  <c r="V618" i="2"/>
  <c r="V611" i="2"/>
  <c r="V610" i="2"/>
  <c r="V599" i="2"/>
  <c r="V583" i="2"/>
  <c r="V571" i="2"/>
  <c r="V644" i="2"/>
  <c r="V650" i="2"/>
  <c r="V635" i="2"/>
  <c r="V617" i="2"/>
  <c r="V604" i="2"/>
  <c r="V587" i="2"/>
  <c r="V575" i="2"/>
  <c r="V567" i="2"/>
  <c r="V559" i="2"/>
  <c r="V557" i="2"/>
  <c r="V555" i="2"/>
  <c r="V553" i="2"/>
  <c r="V551" i="2"/>
  <c r="V549" i="2"/>
  <c r="V547" i="2"/>
  <c r="V689" i="2"/>
  <c r="V653" i="2"/>
  <c r="V647" i="2"/>
  <c r="V597" i="2"/>
  <c r="V558" i="2"/>
  <c r="V550" i="2"/>
  <c r="V615" i="2"/>
  <c r="V614" i="2"/>
  <c r="V612" i="2"/>
  <c r="V601" i="2"/>
  <c r="V659" i="2"/>
  <c r="V629" i="2"/>
  <c r="V619" i="2"/>
  <c r="V564" i="2"/>
  <c r="V554" i="2"/>
  <c r="V632" i="2"/>
  <c r="V595" i="2"/>
  <c r="V585" i="2"/>
  <c r="V534" i="2"/>
  <c r="V527" i="2"/>
  <c r="V525" i="2"/>
  <c r="V523" i="2"/>
  <c r="V521" i="2"/>
  <c r="V519" i="2"/>
  <c r="V517" i="2"/>
  <c r="V515" i="2"/>
  <c r="V513" i="2"/>
  <c r="V511" i="2"/>
  <c r="V509" i="2"/>
  <c r="V616" i="2"/>
  <c r="V556" i="2"/>
  <c r="V543" i="2"/>
  <c r="V535" i="2"/>
  <c r="V630" i="2"/>
  <c r="V565" i="2"/>
  <c r="V673" i="2"/>
  <c r="V605" i="2"/>
  <c r="V548" i="2"/>
  <c r="V545" i="2"/>
  <c r="V537" i="2"/>
  <c r="V529" i="2"/>
  <c r="V637" i="2"/>
  <c r="V566" i="2"/>
  <c r="V552" i="2"/>
  <c r="V531" i="2"/>
  <c r="V546" i="2"/>
  <c r="V541" i="2"/>
  <c r="V516" i="2"/>
  <c r="V508" i="2"/>
  <c r="V562" i="2"/>
  <c r="V540" i="2"/>
  <c r="V603" i="2"/>
  <c r="V593" i="2"/>
  <c r="V532" i="2"/>
  <c r="V524" i="2"/>
  <c r="V512" i="2"/>
  <c r="V536" i="2"/>
  <c r="V520" i="2"/>
  <c r="V514" i="2"/>
  <c r="V506" i="2"/>
  <c r="V577" i="2"/>
  <c r="V560" i="2"/>
  <c r="V539" i="2"/>
  <c r="V641" i="2"/>
  <c r="V620" i="2"/>
  <c r="V563" i="2"/>
  <c r="V544" i="2"/>
  <c r="V505" i="2"/>
  <c r="V503" i="2"/>
  <c r="V501" i="2"/>
  <c r="V497" i="2"/>
  <c r="V495" i="2"/>
  <c r="V493" i="2"/>
  <c r="V491" i="2"/>
  <c r="V489" i="2"/>
  <c r="V487" i="2"/>
  <c r="V485" i="2"/>
  <c r="V483" i="2"/>
  <c r="V481" i="2"/>
  <c r="V479" i="2"/>
  <c r="V477" i="2"/>
  <c r="V475" i="2"/>
  <c r="V473" i="2"/>
  <c r="V471" i="2"/>
  <c r="V469" i="2"/>
  <c r="V467" i="2"/>
  <c r="V465" i="2"/>
  <c r="V463" i="2"/>
  <c r="V461" i="2"/>
  <c r="V459" i="2"/>
  <c r="V457" i="2"/>
  <c r="V455" i="2"/>
  <c r="V453" i="2"/>
  <c r="V451" i="2"/>
  <c r="V449" i="2"/>
  <c r="V447" i="2"/>
  <c r="V445" i="2"/>
  <c r="V443" i="2"/>
  <c r="V441" i="2"/>
  <c r="V439" i="2"/>
  <c r="V437" i="2"/>
  <c r="V435" i="2"/>
  <c r="V433" i="2"/>
  <c r="V431" i="2"/>
  <c r="V429" i="2"/>
  <c r="V427" i="2"/>
  <c r="V609" i="2"/>
  <c r="V530" i="2"/>
  <c r="V518" i="2"/>
  <c r="V510" i="2"/>
  <c r="V591" i="2"/>
  <c r="V579" i="2"/>
  <c r="V568" i="2"/>
  <c r="V528" i="2"/>
  <c r="V538" i="2"/>
  <c r="V533" i="2"/>
  <c r="V504" i="2"/>
  <c r="V502" i="2"/>
  <c r="V500" i="2"/>
  <c r="V498" i="2"/>
  <c r="V496" i="2"/>
  <c r="V494" i="2"/>
  <c r="V492" i="2"/>
  <c r="V490" i="2"/>
  <c r="V488" i="2"/>
  <c r="V486" i="2"/>
  <c r="V482" i="2"/>
  <c r="V480" i="2"/>
  <c r="V478" i="2"/>
  <c r="V476" i="2"/>
  <c r="V474" i="2"/>
  <c r="V472" i="2"/>
  <c r="V470" i="2"/>
  <c r="V468" i="2"/>
  <c r="V466" i="2"/>
  <c r="V464" i="2"/>
  <c r="V462" i="2"/>
  <c r="V460" i="2"/>
  <c r="V458" i="2"/>
  <c r="V454" i="2"/>
  <c r="V452" i="2"/>
  <c r="V450" i="2"/>
  <c r="V448" i="2"/>
  <c r="V446" i="2"/>
  <c r="V444" i="2"/>
  <c r="V442" i="2"/>
  <c r="V440" i="2"/>
  <c r="V436" i="2"/>
  <c r="V434" i="2"/>
  <c r="V432" i="2"/>
  <c r="V430" i="2"/>
  <c r="V428" i="2"/>
  <c r="V426" i="2"/>
  <c r="V408" i="2"/>
  <c r="V400" i="2"/>
  <c r="V392" i="2"/>
  <c r="V384" i="2"/>
  <c r="V376" i="2"/>
  <c r="V368" i="2"/>
  <c r="V410" i="2"/>
  <c r="V402" i="2"/>
  <c r="V394" i="2"/>
  <c r="V386" i="2"/>
  <c r="V378" i="2"/>
  <c r="V370" i="2"/>
  <c r="V425" i="2"/>
  <c r="V411" i="2"/>
  <c r="V399" i="2"/>
  <c r="V389" i="2"/>
  <c r="V379" i="2"/>
  <c r="V365" i="2"/>
  <c r="V412" i="2"/>
  <c r="V406" i="2"/>
  <c r="V401" i="2"/>
  <c r="V396" i="2"/>
  <c r="V374" i="2"/>
  <c r="V369" i="2"/>
  <c r="V415" i="2"/>
  <c r="V414" i="2"/>
  <c r="V403" i="2"/>
  <c r="V391" i="2"/>
  <c r="V381" i="2"/>
  <c r="V371" i="2"/>
  <c r="V367" i="2"/>
  <c r="V366" i="2"/>
  <c r="V359" i="2"/>
  <c r="V358" i="2"/>
  <c r="V351" i="2"/>
  <c r="V350" i="2"/>
  <c r="V347" i="2"/>
  <c r="V345" i="2"/>
  <c r="V343" i="2"/>
  <c r="V341" i="2"/>
  <c r="V339" i="2"/>
  <c r="V337" i="2"/>
  <c r="V335" i="2"/>
  <c r="V333" i="2"/>
  <c r="V331" i="2"/>
  <c r="V416" i="2"/>
  <c r="V398" i="2"/>
  <c r="V393" i="2"/>
  <c r="V388" i="2"/>
  <c r="V419" i="2"/>
  <c r="V418" i="2"/>
  <c r="V417" i="2"/>
  <c r="V405" i="2"/>
  <c r="V395" i="2"/>
  <c r="V383" i="2"/>
  <c r="V373" i="2"/>
  <c r="V420" i="2"/>
  <c r="V390" i="2"/>
  <c r="V380" i="2"/>
  <c r="V423" i="2"/>
  <c r="V422" i="2"/>
  <c r="V421" i="2"/>
  <c r="V407" i="2"/>
  <c r="V397" i="2"/>
  <c r="V387" i="2"/>
  <c r="V375" i="2"/>
  <c r="V363" i="2"/>
  <c r="V362" i="2"/>
  <c r="V355" i="2"/>
  <c r="V354" i="2"/>
  <c r="V346" i="2"/>
  <c r="V344" i="2"/>
  <c r="V342" i="2"/>
  <c r="V340" i="2"/>
  <c r="V338" i="2"/>
  <c r="V336" i="2"/>
  <c r="V334" i="2"/>
  <c r="V332" i="2"/>
  <c r="V404" i="2"/>
  <c r="V382" i="2"/>
  <c r="V377" i="2"/>
  <c r="V352" i="2"/>
  <c r="V327" i="2"/>
  <c r="V319" i="2"/>
  <c r="V311" i="2"/>
  <c r="V303" i="2"/>
  <c r="V356" i="2"/>
  <c r="V328" i="2"/>
  <c r="V320" i="2"/>
  <c r="V312" i="2"/>
  <c r="V304" i="2"/>
  <c r="V360" i="2"/>
  <c r="V329" i="2"/>
  <c r="V321" i="2"/>
  <c r="V313" i="2"/>
  <c r="V305" i="2"/>
  <c r="V297" i="2"/>
  <c r="V296" i="2"/>
  <c r="V294" i="2"/>
  <c r="V292" i="2"/>
  <c r="V290" i="2"/>
  <c r="V288" i="2"/>
  <c r="V286" i="2"/>
  <c r="V282" i="2"/>
  <c r="V280" i="2"/>
  <c r="V278" i="2"/>
  <c r="V276" i="2"/>
  <c r="V274" i="2"/>
  <c r="V272" i="2"/>
  <c r="V270" i="2"/>
  <c r="V268" i="2"/>
  <c r="V266" i="2"/>
  <c r="V364" i="2"/>
  <c r="V349" i="2"/>
  <c r="V322" i="2"/>
  <c r="V314" i="2"/>
  <c r="V306" i="2"/>
  <c r="V298" i="2"/>
  <c r="V353" i="2"/>
  <c r="V323" i="2"/>
  <c r="V307" i="2"/>
  <c r="V299" i="2"/>
  <c r="V357" i="2"/>
  <c r="V324" i="2"/>
  <c r="V316" i="2"/>
  <c r="V308" i="2"/>
  <c r="V300" i="2"/>
  <c r="V361" i="2"/>
  <c r="V325" i="2"/>
  <c r="V317" i="2"/>
  <c r="V309" i="2"/>
  <c r="V301" i="2"/>
  <c r="V295" i="2"/>
  <c r="V293" i="2"/>
  <c r="V291" i="2"/>
  <c r="V289" i="2"/>
  <c r="V287" i="2"/>
  <c r="V285" i="2"/>
  <c r="V283" i="2"/>
  <c r="V281" i="2"/>
  <c r="V277" i="2"/>
  <c r="V275" i="2"/>
  <c r="V273" i="2"/>
  <c r="V271" i="2"/>
  <c r="V269" i="2"/>
  <c r="V267" i="2"/>
  <c r="V348" i="2"/>
  <c r="V326" i="2"/>
  <c r="V318" i="2"/>
  <c r="V239" i="2"/>
  <c r="V231" i="2"/>
  <c r="V223" i="2"/>
  <c r="V215" i="2"/>
  <c r="V265" i="2"/>
  <c r="V261" i="2"/>
  <c r="V257" i="2"/>
  <c r="V253" i="2"/>
  <c r="V249" i="2"/>
  <c r="V245" i="2"/>
  <c r="V240" i="2"/>
  <c r="V232" i="2"/>
  <c r="V224" i="2"/>
  <c r="V216" i="2"/>
  <c r="V241" i="2"/>
  <c r="V233" i="2"/>
  <c r="V225" i="2"/>
  <c r="V217" i="2"/>
  <c r="V264" i="2"/>
  <c r="V260" i="2"/>
  <c r="V256" i="2"/>
  <c r="V252" i="2"/>
  <c r="V248" i="2"/>
  <c r="V234" i="2"/>
  <c r="V226" i="2"/>
  <c r="V218" i="2"/>
  <c r="V243" i="2"/>
  <c r="V235" i="2"/>
  <c r="V227" i="2"/>
  <c r="V219" i="2"/>
  <c r="V263" i="2"/>
  <c r="V259" i="2"/>
  <c r="V255" i="2"/>
  <c r="V247" i="2"/>
  <c r="V244" i="2"/>
  <c r="V236" i="2"/>
  <c r="V228" i="2"/>
  <c r="V220" i="2"/>
  <c r="V237" i="2"/>
  <c r="V229" i="2"/>
  <c r="V221" i="2"/>
  <c r="V262" i="2"/>
  <c r="V258" i="2"/>
  <c r="V254" i="2"/>
  <c r="V250" i="2"/>
  <c r="V246" i="2"/>
  <c r="V238" i="2"/>
  <c r="V230" i="2"/>
  <c r="V222" i="2"/>
  <c r="V214" i="2"/>
  <c r="V30" i="2"/>
  <c r="V28" i="2"/>
  <c r="V26" i="2"/>
  <c r="V103" i="2"/>
  <c r="V95" i="2"/>
  <c r="V106" i="2"/>
  <c r="V31" i="2"/>
  <c r="V29" i="2"/>
  <c r="V104" i="2"/>
  <c r="V102" i="2"/>
  <c r="V107" i="2"/>
  <c r="V105" i="2"/>
  <c r="J50" i="1"/>
  <c r="G51" i="1"/>
  <c r="D52" i="1"/>
  <c r="L52" i="1"/>
  <c r="I53" i="1"/>
  <c r="F54" i="1"/>
  <c r="C55" i="1"/>
  <c r="K55" i="1"/>
  <c r="H56" i="1"/>
  <c r="E57" i="1"/>
  <c r="M57" i="1"/>
  <c r="J58" i="1"/>
  <c r="G59" i="1"/>
  <c r="D60" i="1"/>
  <c r="L60" i="1"/>
  <c r="I61" i="1"/>
  <c r="F62" i="1"/>
  <c r="C63" i="1"/>
  <c r="K63" i="1"/>
  <c r="H64" i="1"/>
  <c r="E101" i="2"/>
  <c r="E85" i="2"/>
  <c r="M101" i="2"/>
  <c r="M85" i="2"/>
  <c r="U101" i="2"/>
  <c r="U85" i="2"/>
  <c r="G166" i="1"/>
  <c r="O166" i="1"/>
  <c r="S169" i="1"/>
  <c r="P169" i="2"/>
  <c r="P50" i="2"/>
  <c r="U124" i="2"/>
  <c r="S190" i="1"/>
  <c r="P190" i="2"/>
  <c r="P138" i="2"/>
  <c r="K215" i="1"/>
  <c r="K1078" i="1" s="1"/>
  <c r="S215" i="1"/>
  <c r="V269" i="1"/>
  <c r="V271" i="1"/>
  <c r="J272" i="1"/>
  <c r="N273" i="1"/>
  <c r="F285" i="1"/>
  <c r="F346" i="1"/>
  <c r="F344" i="1" s="1"/>
  <c r="N346" i="1"/>
  <c r="N344" i="1" s="1"/>
  <c r="V348" i="1"/>
  <c r="P381" i="1"/>
  <c r="N414" i="1"/>
  <c r="V414" i="1"/>
  <c r="R419" i="1"/>
  <c r="R413" i="1" s="1"/>
  <c r="V422" i="1"/>
  <c r="V428" i="1"/>
  <c r="V450" i="1"/>
  <c r="S572" i="1"/>
  <c r="S561" i="1" s="1"/>
  <c r="S560" i="1" s="1"/>
  <c r="G573" i="1"/>
  <c r="G560" i="1" s="1"/>
  <c r="C574" i="1"/>
  <c r="S590" i="1"/>
  <c r="S580" i="1" s="1"/>
  <c r="S578" i="1" s="1"/>
  <c r="S603" i="1"/>
  <c r="J187" i="2"/>
  <c r="J109" i="2"/>
  <c r="M54" i="1"/>
  <c r="M62" i="1"/>
  <c r="L101" i="2"/>
  <c r="L85" i="2"/>
  <c r="R173" i="2"/>
  <c r="R58" i="2"/>
  <c r="F22" i="2"/>
  <c r="F19" i="2"/>
  <c r="F17" i="2"/>
  <c r="F15" i="2"/>
  <c r="F13" i="2"/>
  <c r="F14" i="2" s="1"/>
  <c r="F5" i="2"/>
  <c r="F3" i="2"/>
  <c r="F75" i="2"/>
  <c r="F25" i="2"/>
  <c r="F18" i="2"/>
  <c r="F16" i="2"/>
  <c r="F74" i="2"/>
  <c r="F34" i="2"/>
  <c r="F73" i="2"/>
  <c r="N22" i="2"/>
  <c r="N19" i="2"/>
  <c r="N17" i="2"/>
  <c r="N15" i="2"/>
  <c r="N13" i="2"/>
  <c r="N14" i="2" s="1"/>
  <c r="N5" i="2"/>
  <c r="N3" i="2"/>
  <c r="N75" i="2"/>
  <c r="N25" i="2"/>
  <c r="N18" i="2"/>
  <c r="N74" i="2"/>
  <c r="N34" i="2"/>
  <c r="N73" i="2"/>
  <c r="N21" i="2"/>
  <c r="V22" i="2"/>
  <c r="V20" i="2"/>
  <c r="V19" i="2"/>
  <c r="V17" i="2"/>
  <c r="V15" i="2"/>
  <c r="V13" i="2"/>
  <c r="V14" i="2" s="1"/>
  <c r="V5" i="2"/>
  <c r="V3" i="2"/>
  <c r="V75" i="2"/>
  <c r="V25" i="2"/>
  <c r="V18" i="2"/>
  <c r="V74" i="2"/>
  <c r="V34" i="2"/>
  <c r="S49" i="2"/>
  <c r="S71" i="2"/>
  <c r="S63" i="2"/>
  <c r="S55" i="2"/>
  <c r="S65" i="2"/>
  <c r="S57" i="2"/>
  <c r="S7" i="2"/>
  <c r="S67" i="2"/>
  <c r="S59" i="2"/>
  <c r="S51" i="2"/>
  <c r="S47" i="2"/>
  <c r="S69" i="2"/>
  <c r="S61" i="2"/>
  <c r="S53" i="2"/>
  <c r="S27" i="2"/>
  <c r="C82" i="2"/>
  <c r="C80" i="2"/>
  <c r="C78" i="2"/>
  <c r="C84" i="2"/>
  <c r="C81" i="2"/>
  <c r="C79" i="2"/>
  <c r="C77" i="2"/>
  <c r="C4" i="2"/>
  <c r="K82" i="2"/>
  <c r="K80" i="2"/>
  <c r="K78" i="2"/>
  <c r="K84" i="2"/>
  <c r="K81" i="2"/>
  <c r="K79" i="2"/>
  <c r="K77" i="2"/>
  <c r="K4" i="2"/>
  <c r="S83" i="2"/>
  <c r="S82" i="2"/>
  <c r="S80" i="2"/>
  <c r="S78" i="2"/>
  <c r="S81" i="2"/>
  <c r="S79" i="2"/>
  <c r="S4" i="2"/>
  <c r="G688" i="2"/>
  <c r="G686" i="2"/>
  <c r="G684" i="2"/>
  <c r="G682" i="2"/>
  <c r="G680" i="2"/>
  <c r="G676" i="2"/>
  <c r="G674" i="2"/>
  <c r="G672" i="2"/>
  <c r="G670" i="2"/>
  <c r="G687" i="2"/>
  <c r="G668" i="2"/>
  <c r="G666" i="2"/>
  <c r="G664" i="2"/>
  <c r="G662" i="2"/>
  <c r="G660" i="2"/>
  <c r="G658" i="2"/>
  <c r="G656" i="2"/>
  <c r="G654" i="2"/>
  <c r="G652" i="2"/>
  <c r="G650" i="2"/>
  <c r="G671" i="2"/>
  <c r="G653" i="2"/>
  <c r="G649" i="2"/>
  <c r="G645" i="2"/>
  <c r="G643" i="2"/>
  <c r="G641" i="2"/>
  <c r="G639" i="2"/>
  <c r="G637" i="2"/>
  <c r="G689" i="2"/>
  <c r="G681" i="2"/>
  <c r="G665" i="2"/>
  <c r="G648" i="2"/>
  <c r="G677" i="2"/>
  <c r="G669" i="2"/>
  <c r="G663" i="2"/>
  <c r="G647" i="2"/>
  <c r="G679" i="2"/>
  <c r="G675" i="2"/>
  <c r="G642" i="2"/>
  <c r="G633" i="2"/>
  <c r="G631" i="2"/>
  <c r="G629" i="2"/>
  <c r="G627" i="2"/>
  <c r="G623" i="2"/>
  <c r="G685" i="2"/>
  <c r="G651" i="2"/>
  <c r="G635" i="2"/>
  <c r="G673" i="2"/>
  <c r="G646" i="2"/>
  <c r="G638" i="2"/>
  <c r="G624" i="2"/>
  <c r="G621" i="2"/>
  <c r="G619" i="2"/>
  <c r="G617" i="2"/>
  <c r="G615" i="2"/>
  <c r="G613" i="2"/>
  <c r="G611" i="2"/>
  <c r="G609" i="2"/>
  <c r="G607" i="2"/>
  <c r="G605" i="2"/>
  <c r="G603" i="2"/>
  <c r="G618" i="2"/>
  <c r="G606" i="2"/>
  <c r="G640" i="2"/>
  <c r="G628" i="2"/>
  <c r="G622" i="2"/>
  <c r="G612" i="2"/>
  <c r="G598" i="2"/>
  <c r="G587" i="2"/>
  <c r="G582" i="2"/>
  <c r="G571" i="2"/>
  <c r="G626" i="2"/>
  <c r="G601" i="2"/>
  <c r="G636" i="2"/>
  <c r="G614" i="2"/>
  <c r="G588" i="2"/>
  <c r="G577" i="2"/>
  <c r="G567" i="2"/>
  <c r="G655" i="2"/>
  <c r="G683" i="2"/>
  <c r="G667" i="2"/>
  <c r="G644" i="2"/>
  <c r="G630" i="2"/>
  <c r="G604" i="2"/>
  <c r="G593" i="2"/>
  <c r="G570" i="2"/>
  <c r="G565" i="2"/>
  <c r="G634" i="2"/>
  <c r="G616" i="2"/>
  <c r="G597" i="2"/>
  <c r="G572" i="2"/>
  <c r="G562" i="2"/>
  <c r="G555" i="2"/>
  <c r="G657" i="2"/>
  <c r="G632" i="2"/>
  <c r="G610" i="2"/>
  <c r="G590" i="2"/>
  <c r="G599" i="2"/>
  <c r="G596" i="2"/>
  <c r="G580" i="2"/>
  <c r="G573" i="2"/>
  <c r="G559" i="2"/>
  <c r="G551" i="2"/>
  <c r="G554" i="2"/>
  <c r="G549" i="2"/>
  <c r="G547" i="2"/>
  <c r="G539" i="2"/>
  <c r="G531" i="2"/>
  <c r="G591" i="2"/>
  <c r="G556" i="2"/>
  <c r="G540" i="2"/>
  <c r="G532" i="2"/>
  <c r="G620" i="2"/>
  <c r="G592" i="2"/>
  <c r="G579" i="2"/>
  <c r="G564" i="2"/>
  <c r="G661" i="2"/>
  <c r="G600" i="2"/>
  <c r="G578" i="2"/>
  <c r="G568" i="2"/>
  <c r="G558" i="2"/>
  <c r="G553" i="2"/>
  <c r="G548" i="2"/>
  <c r="G534" i="2"/>
  <c r="G528" i="2"/>
  <c r="G524" i="2"/>
  <c r="G520" i="2"/>
  <c r="G518" i="2"/>
  <c r="G516" i="2"/>
  <c r="G514" i="2"/>
  <c r="G512" i="2"/>
  <c r="G510" i="2"/>
  <c r="G583" i="2"/>
  <c r="G536" i="2"/>
  <c r="G519" i="2"/>
  <c r="G586" i="2"/>
  <c r="G557" i="2"/>
  <c r="G550" i="2"/>
  <c r="G546" i="2"/>
  <c r="G529" i="2"/>
  <c r="G584" i="2"/>
  <c r="G566" i="2"/>
  <c r="G545" i="2"/>
  <c r="G533" i="2"/>
  <c r="G527" i="2"/>
  <c r="G513" i="2"/>
  <c r="G585" i="2"/>
  <c r="G537" i="2"/>
  <c r="G521" i="2"/>
  <c r="G508" i="2"/>
  <c r="G575" i="2"/>
  <c r="G535" i="2"/>
  <c r="G530" i="2"/>
  <c r="G517" i="2"/>
  <c r="G659" i="2"/>
  <c r="G595" i="2"/>
  <c r="G594" i="2"/>
  <c r="G574" i="2"/>
  <c r="G543" i="2"/>
  <c r="G538" i="2"/>
  <c r="G523" i="2"/>
  <c r="G560" i="2"/>
  <c r="G541" i="2"/>
  <c r="G511" i="2"/>
  <c r="G563" i="2"/>
  <c r="G608" i="2"/>
  <c r="G576" i="2"/>
  <c r="G552" i="2"/>
  <c r="G544" i="2"/>
  <c r="G525" i="2"/>
  <c r="G509" i="2"/>
  <c r="G506" i="2"/>
  <c r="G504" i="2"/>
  <c r="G502" i="2"/>
  <c r="G500" i="2"/>
  <c r="G498" i="2"/>
  <c r="G496" i="2"/>
  <c r="G494" i="2"/>
  <c r="G515" i="2"/>
  <c r="G493" i="2"/>
  <c r="G485" i="2"/>
  <c r="G477" i="2"/>
  <c r="G469" i="2"/>
  <c r="G461" i="2"/>
  <c r="G453" i="2"/>
  <c r="G445" i="2"/>
  <c r="G437" i="2"/>
  <c r="G429" i="2"/>
  <c r="G426" i="2"/>
  <c r="G422" i="2"/>
  <c r="G420" i="2"/>
  <c r="G418" i="2"/>
  <c r="G416" i="2"/>
  <c r="G414" i="2"/>
  <c r="G412" i="2"/>
  <c r="G497" i="2"/>
  <c r="G486" i="2"/>
  <c r="G478" i="2"/>
  <c r="G470" i="2"/>
  <c r="G462" i="2"/>
  <c r="G454" i="2"/>
  <c r="G446" i="2"/>
  <c r="G503" i="2"/>
  <c r="G487" i="2"/>
  <c r="G479" i="2"/>
  <c r="G471" i="2"/>
  <c r="G463" i="2"/>
  <c r="G455" i="2"/>
  <c r="G488" i="2"/>
  <c r="G480" i="2"/>
  <c r="G472" i="2"/>
  <c r="G464" i="2"/>
  <c r="G448" i="2"/>
  <c r="G440" i="2"/>
  <c r="G432" i="2"/>
  <c r="G489" i="2"/>
  <c r="G481" i="2"/>
  <c r="G473" i="2"/>
  <c r="G465" i="2"/>
  <c r="G457" i="2"/>
  <c r="G449" i="2"/>
  <c r="G441" i="2"/>
  <c r="G433" i="2"/>
  <c r="G425" i="2"/>
  <c r="G423" i="2"/>
  <c r="G421" i="2"/>
  <c r="G419" i="2"/>
  <c r="G417" i="2"/>
  <c r="G415" i="2"/>
  <c r="G411" i="2"/>
  <c r="G407" i="2"/>
  <c r="G405" i="2"/>
  <c r="G403" i="2"/>
  <c r="G401" i="2"/>
  <c r="G399" i="2"/>
  <c r="G397" i="2"/>
  <c r="G395" i="2"/>
  <c r="G393" i="2"/>
  <c r="G391" i="2"/>
  <c r="G389" i="2"/>
  <c r="G387" i="2"/>
  <c r="G383" i="2"/>
  <c r="G381" i="2"/>
  <c r="G379" i="2"/>
  <c r="G377" i="2"/>
  <c r="G375" i="2"/>
  <c r="G373" i="2"/>
  <c r="G371" i="2"/>
  <c r="G369" i="2"/>
  <c r="G505" i="2"/>
  <c r="G490" i="2"/>
  <c r="G482" i="2"/>
  <c r="G474" i="2"/>
  <c r="G466" i="2"/>
  <c r="G458" i="2"/>
  <c r="G495" i="2"/>
  <c r="G491" i="2"/>
  <c r="G483" i="2"/>
  <c r="G475" i="2"/>
  <c r="G467" i="2"/>
  <c r="G459" i="2"/>
  <c r="G451" i="2"/>
  <c r="G501" i="2"/>
  <c r="G492" i="2"/>
  <c r="G476" i="2"/>
  <c r="G468" i="2"/>
  <c r="G460" i="2"/>
  <c r="G452" i="2"/>
  <c r="G444" i="2"/>
  <c r="G436" i="2"/>
  <c r="G428" i="2"/>
  <c r="G450" i="2"/>
  <c r="G435" i="2"/>
  <c r="G447" i="2"/>
  <c r="G439" i="2"/>
  <c r="G367" i="2"/>
  <c r="G365" i="2"/>
  <c r="G363" i="2"/>
  <c r="G361" i="2"/>
  <c r="G359" i="2"/>
  <c r="G357" i="2"/>
  <c r="G355" i="2"/>
  <c r="G353" i="2"/>
  <c r="G351" i="2"/>
  <c r="G349" i="2"/>
  <c r="G434" i="2"/>
  <c r="G404" i="2"/>
  <c r="G394" i="2"/>
  <c r="G384" i="2"/>
  <c r="G431" i="2"/>
  <c r="G406" i="2"/>
  <c r="G374" i="2"/>
  <c r="G362" i="2"/>
  <c r="G354" i="2"/>
  <c r="G347" i="2"/>
  <c r="G345" i="2"/>
  <c r="G343" i="2"/>
  <c r="G341" i="2"/>
  <c r="G339" i="2"/>
  <c r="G442" i="2"/>
  <c r="G408" i="2"/>
  <c r="G396" i="2"/>
  <c r="G386" i="2"/>
  <c r="G376" i="2"/>
  <c r="G398" i="2"/>
  <c r="G364" i="2"/>
  <c r="G356" i="2"/>
  <c r="G410" i="2"/>
  <c r="G400" i="2"/>
  <c r="G388" i="2"/>
  <c r="G378" i="2"/>
  <c r="G443" i="2"/>
  <c r="G390" i="2"/>
  <c r="G366" i="2"/>
  <c r="G358" i="2"/>
  <c r="G350" i="2"/>
  <c r="G348" i="2"/>
  <c r="G346" i="2"/>
  <c r="G344" i="2"/>
  <c r="G342" i="2"/>
  <c r="G340" i="2"/>
  <c r="G338" i="2"/>
  <c r="G430" i="2"/>
  <c r="G402" i="2"/>
  <c r="G392" i="2"/>
  <c r="G380" i="2"/>
  <c r="G370" i="2"/>
  <c r="G427" i="2"/>
  <c r="G382" i="2"/>
  <c r="G368" i="2"/>
  <c r="G360" i="2"/>
  <c r="G352" i="2"/>
  <c r="G324" i="2"/>
  <c r="G316" i="2"/>
  <c r="G308" i="2"/>
  <c r="G300" i="2"/>
  <c r="G333" i="2"/>
  <c r="G325" i="2"/>
  <c r="G317" i="2"/>
  <c r="G309" i="2"/>
  <c r="G301" i="2"/>
  <c r="G296" i="2"/>
  <c r="G294" i="2"/>
  <c r="G292" i="2"/>
  <c r="G290" i="2"/>
  <c r="G288" i="2"/>
  <c r="G286" i="2"/>
  <c r="G282" i="2"/>
  <c r="G280" i="2"/>
  <c r="G278" i="2"/>
  <c r="G276" i="2"/>
  <c r="G274" i="2"/>
  <c r="G272" i="2"/>
  <c r="G270" i="2"/>
  <c r="G337" i="2"/>
  <c r="G326" i="2"/>
  <c r="G318" i="2"/>
  <c r="G336" i="2"/>
  <c r="G332" i="2"/>
  <c r="G327" i="2"/>
  <c r="G319" i="2"/>
  <c r="G311" i="2"/>
  <c r="G303" i="2"/>
  <c r="G328" i="2"/>
  <c r="G320" i="2"/>
  <c r="G312" i="2"/>
  <c r="G304" i="2"/>
  <c r="G335" i="2"/>
  <c r="G329" i="2"/>
  <c r="G321" i="2"/>
  <c r="G313" i="2"/>
  <c r="G305" i="2"/>
  <c r="G295" i="2"/>
  <c r="G293" i="2"/>
  <c r="G291" i="2"/>
  <c r="G289" i="2"/>
  <c r="G287" i="2"/>
  <c r="G285" i="2"/>
  <c r="G283" i="2"/>
  <c r="G281" i="2"/>
  <c r="G279" i="2"/>
  <c r="G277" i="2"/>
  <c r="G275" i="2"/>
  <c r="G273" i="2"/>
  <c r="G271" i="2"/>
  <c r="G269" i="2"/>
  <c r="G322" i="2"/>
  <c r="G314" i="2"/>
  <c r="G306" i="2"/>
  <c r="G298" i="2"/>
  <c r="G297" i="2"/>
  <c r="G334" i="2"/>
  <c r="G331" i="2"/>
  <c r="G323" i="2"/>
  <c r="G307" i="2"/>
  <c r="G299" i="2"/>
  <c r="G267" i="2"/>
  <c r="G265" i="2"/>
  <c r="G261" i="2"/>
  <c r="G257" i="2"/>
  <c r="G253" i="2"/>
  <c r="G249" i="2"/>
  <c r="G244" i="2"/>
  <c r="G236" i="2"/>
  <c r="G228" i="2"/>
  <c r="G220" i="2"/>
  <c r="G245" i="2"/>
  <c r="G237" i="2"/>
  <c r="G229" i="2"/>
  <c r="G221" i="2"/>
  <c r="G264" i="2"/>
  <c r="G260" i="2"/>
  <c r="G256" i="2"/>
  <c r="G252" i="2"/>
  <c r="G248" i="2"/>
  <c r="G238" i="2"/>
  <c r="G230" i="2"/>
  <c r="G222" i="2"/>
  <c r="G214" i="2"/>
  <c r="G268" i="2"/>
  <c r="G239" i="2"/>
  <c r="G231" i="2"/>
  <c r="G223" i="2"/>
  <c r="G215" i="2"/>
  <c r="G263" i="2"/>
  <c r="G259" i="2"/>
  <c r="G255" i="2"/>
  <c r="G247" i="2"/>
  <c r="G240" i="2"/>
  <c r="G232" i="2"/>
  <c r="G224" i="2"/>
  <c r="G216" i="2"/>
  <c r="G241" i="2"/>
  <c r="G233" i="2"/>
  <c r="G225" i="2"/>
  <c r="G217" i="2"/>
  <c r="G266" i="2"/>
  <c r="G262" i="2"/>
  <c r="G258" i="2"/>
  <c r="G254" i="2"/>
  <c r="G250" i="2"/>
  <c r="G246" i="2"/>
  <c r="G234" i="2"/>
  <c r="G226" i="2"/>
  <c r="G218" i="2"/>
  <c r="G243" i="2"/>
  <c r="G235" i="2"/>
  <c r="G227" i="2"/>
  <c r="G219" i="2"/>
  <c r="G103" i="2"/>
  <c r="G95" i="2"/>
  <c r="G106" i="2"/>
  <c r="G31" i="2"/>
  <c r="G29" i="2"/>
  <c r="G27" i="2"/>
  <c r="G104" i="2"/>
  <c r="G102" i="2"/>
  <c r="G107" i="2"/>
  <c r="G32" i="2"/>
  <c r="G30" i="2"/>
  <c r="G28" i="2"/>
  <c r="G26" i="2"/>
  <c r="O688" i="2"/>
  <c r="O686" i="2"/>
  <c r="O684" i="2"/>
  <c r="O682" i="2"/>
  <c r="O680" i="2"/>
  <c r="O676" i="2"/>
  <c r="O674" i="2"/>
  <c r="O672" i="2"/>
  <c r="O670" i="2"/>
  <c r="O668" i="2"/>
  <c r="O666" i="2"/>
  <c r="O664" i="2"/>
  <c r="O662" i="2"/>
  <c r="O660" i="2"/>
  <c r="O658" i="2"/>
  <c r="O656" i="2"/>
  <c r="O654" i="2"/>
  <c r="O652" i="2"/>
  <c r="O650" i="2"/>
  <c r="O683" i="2"/>
  <c r="O671" i="2"/>
  <c r="O689" i="2"/>
  <c r="O677" i="2"/>
  <c r="O659" i="2"/>
  <c r="O645" i="2"/>
  <c r="O643" i="2"/>
  <c r="O641" i="2"/>
  <c r="O639" i="2"/>
  <c r="O637" i="2"/>
  <c r="O685" i="2"/>
  <c r="O655" i="2"/>
  <c r="O653" i="2"/>
  <c r="O648" i="2"/>
  <c r="O633" i="2"/>
  <c r="O631" i="2"/>
  <c r="O629" i="2"/>
  <c r="O627" i="2"/>
  <c r="O623" i="2"/>
  <c r="O646" i="2"/>
  <c r="O642" i="2"/>
  <c r="O681" i="2"/>
  <c r="O673" i="2"/>
  <c r="O651" i="2"/>
  <c r="O644" i="2"/>
  <c r="O667" i="2"/>
  <c r="O663" i="2"/>
  <c r="O621" i="2"/>
  <c r="O619" i="2"/>
  <c r="O617" i="2"/>
  <c r="O615" i="2"/>
  <c r="O613" i="2"/>
  <c r="O611" i="2"/>
  <c r="O609" i="2"/>
  <c r="O607" i="2"/>
  <c r="O605" i="2"/>
  <c r="O603" i="2"/>
  <c r="O687" i="2"/>
  <c r="O675" i="2"/>
  <c r="O636" i="2"/>
  <c r="O630" i="2"/>
  <c r="O616" i="2"/>
  <c r="O612" i="2"/>
  <c r="O661" i="2"/>
  <c r="O649" i="2"/>
  <c r="O626" i="2"/>
  <c r="O610" i="2"/>
  <c r="O593" i="2"/>
  <c r="O588" i="2"/>
  <c r="O577" i="2"/>
  <c r="O572" i="2"/>
  <c r="O679" i="2"/>
  <c r="O638" i="2"/>
  <c r="O624" i="2"/>
  <c r="O622" i="2"/>
  <c r="O632" i="2"/>
  <c r="O600" i="2"/>
  <c r="O587" i="2"/>
  <c r="O586" i="2"/>
  <c r="O575" i="2"/>
  <c r="O574" i="2"/>
  <c r="O562" i="2"/>
  <c r="O657" i="2"/>
  <c r="O640" i="2"/>
  <c r="O634" i="2"/>
  <c r="O591" i="2"/>
  <c r="O590" i="2"/>
  <c r="O579" i="2"/>
  <c r="O578" i="2"/>
  <c r="O606" i="2"/>
  <c r="O599" i="2"/>
  <c r="O596" i="2"/>
  <c r="O582" i="2"/>
  <c r="O573" i="2"/>
  <c r="O564" i="2"/>
  <c r="O553" i="2"/>
  <c r="O604" i="2"/>
  <c r="O665" i="2"/>
  <c r="O601" i="2"/>
  <c r="O597" i="2"/>
  <c r="O568" i="2"/>
  <c r="O557" i="2"/>
  <c r="O549" i="2"/>
  <c r="O669" i="2"/>
  <c r="O628" i="2"/>
  <c r="O576" i="2"/>
  <c r="O560" i="2"/>
  <c r="O555" i="2"/>
  <c r="O550" i="2"/>
  <c r="O545" i="2"/>
  <c r="O537" i="2"/>
  <c r="O529" i="2"/>
  <c r="O620" i="2"/>
  <c r="O567" i="2"/>
  <c r="O563" i="2"/>
  <c r="O546" i="2"/>
  <c r="O538" i="2"/>
  <c r="O530" i="2"/>
  <c r="O618" i="2"/>
  <c r="O595" i="2"/>
  <c r="O594" i="2"/>
  <c r="O585" i="2"/>
  <c r="O571" i="2"/>
  <c r="O566" i="2"/>
  <c r="O559" i="2"/>
  <c r="O554" i="2"/>
  <c r="O540" i="2"/>
  <c r="O532" i="2"/>
  <c r="O528" i="2"/>
  <c r="O524" i="2"/>
  <c r="O520" i="2"/>
  <c r="O518" i="2"/>
  <c r="O516" i="2"/>
  <c r="O514" i="2"/>
  <c r="O512" i="2"/>
  <c r="O510" i="2"/>
  <c r="O508" i="2"/>
  <c r="O614" i="2"/>
  <c r="O539" i="2"/>
  <c r="O533" i="2"/>
  <c r="O525" i="2"/>
  <c r="O515" i="2"/>
  <c r="O580" i="2"/>
  <c r="O558" i="2"/>
  <c r="O543" i="2"/>
  <c r="O531" i="2"/>
  <c r="O519" i="2"/>
  <c r="O608" i="2"/>
  <c r="O592" i="2"/>
  <c r="O517" i="2"/>
  <c r="O511" i="2"/>
  <c r="O548" i="2"/>
  <c r="O534" i="2"/>
  <c r="O527" i="2"/>
  <c r="O551" i="2"/>
  <c r="O523" i="2"/>
  <c r="O647" i="2"/>
  <c r="O570" i="2"/>
  <c r="O541" i="2"/>
  <c r="O536" i="2"/>
  <c r="O598" i="2"/>
  <c r="O509" i="2"/>
  <c r="O635" i="2"/>
  <c r="O584" i="2"/>
  <c r="O552" i="2"/>
  <c r="O544" i="2"/>
  <c r="O521" i="2"/>
  <c r="O513" i="2"/>
  <c r="O583" i="2"/>
  <c r="O547" i="2"/>
  <c r="O504" i="2"/>
  <c r="O502" i="2"/>
  <c r="O500" i="2"/>
  <c r="O498" i="2"/>
  <c r="O496" i="2"/>
  <c r="O494" i="2"/>
  <c r="O565" i="2"/>
  <c r="O556" i="2"/>
  <c r="O535" i="2"/>
  <c r="O506" i="2"/>
  <c r="O497" i="2"/>
  <c r="O491" i="2"/>
  <c r="O483" i="2"/>
  <c r="O475" i="2"/>
  <c r="O467" i="2"/>
  <c r="O459" i="2"/>
  <c r="O451" i="2"/>
  <c r="O443" i="2"/>
  <c r="O435" i="2"/>
  <c r="O427" i="2"/>
  <c r="O426" i="2"/>
  <c r="O422" i="2"/>
  <c r="O420" i="2"/>
  <c r="O418" i="2"/>
  <c r="O416" i="2"/>
  <c r="O414" i="2"/>
  <c r="O412" i="2"/>
  <c r="O503" i="2"/>
  <c r="O492" i="2"/>
  <c r="O476" i="2"/>
  <c r="O468" i="2"/>
  <c r="O460" i="2"/>
  <c r="O452" i="2"/>
  <c r="O485" i="2"/>
  <c r="O477" i="2"/>
  <c r="O469" i="2"/>
  <c r="O461" i="2"/>
  <c r="O453" i="2"/>
  <c r="O493" i="2"/>
  <c r="O486" i="2"/>
  <c r="O478" i="2"/>
  <c r="O470" i="2"/>
  <c r="O462" i="2"/>
  <c r="O454" i="2"/>
  <c r="O446" i="2"/>
  <c r="O430" i="2"/>
  <c r="O505" i="2"/>
  <c r="O487" i="2"/>
  <c r="O479" i="2"/>
  <c r="O471" i="2"/>
  <c r="O463" i="2"/>
  <c r="O455" i="2"/>
  <c r="O447" i="2"/>
  <c r="O439" i="2"/>
  <c r="O431" i="2"/>
  <c r="O425" i="2"/>
  <c r="O423" i="2"/>
  <c r="O421" i="2"/>
  <c r="O419" i="2"/>
  <c r="O417" i="2"/>
  <c r="O415" i="2"/>
  <c r="O411" i="2"/>
  <c r="O407" i="2"/>
  <c r="O405" i="2"/>
  <c r="O403" i="2"/>
  <c r="O401" i="2"/>
  <c r="O399" i="2"/>
  <c r="O397" i="2"/>
  <c r="O395" i="2"/>
  <c r="O393" i="2"/>
  <c r="O391" i="2"/>
  <c r="O389" i="2"/>
  <c r="O387" i="2"/>
  <c r="O383" i="2"/>
  <c r="O381" i="2"/>
  <c r="O379" i="2"/>
  <c r="O377" i="2"/>
  <c r="O375" i="2"/>
  <c r="O373" i="2"/>
  <c r="O371" i="2"/>
  <c r="O369" i="2"/>
  <c r="O495" i="2"/>
  <c r="O488" i="2"/>
  <c r="O480" i="2"/>
  <c r="O472" i="2"/>
  <c r="O464" i="2"/>
  <c r="O501" i="2"/>
  <c r="O489" i="2"/>
  <c r="O481" i="2"/>
  <c r="O473" i="2"/>
  <c r="O465" i="2"/>
  <c r="O457" i="2"/>
  <c r="O449" i="2"/>
  <c r="O490" i="2"/>
  <c r="O482" i="2"/>
  <c r="O474" i="2"/>
  <c r="O466" i="2"/>
  <c r="O458" i="2"/>
  <c r="O450" i="2"/>
  <c r="O442" i="2"/>
  <c r="O434" i="2"/>
  <c r="O441" i="2"/>
  <c r="O445" i="2"/>
  <c r="O429" i="2"/>
  <c r="O367" i="2"/>
  <c r="O365" i="2"/>
  <c r="O363" i="2"/>
  <c r="O361" i="2"/>
  <c r="O359" i="2"/>
  <c r="O357" i="2"/>
  <c r="O355" i="2"/>
  <c r="O353" i="2"/>
  <c r="O351" i="2"/>
  <c r="O349" i="2"/>
  <c r="O432" i="2"/>
  <c r="O410" i="2"/>
  <c r="O400" i="2"/>
  <c r="O390" i="2"/>
  <c r="O378" i="2"/>
  <c r="O380" i="2"/>
  <c r="O368" i="2"/>
  <c r="O360" i="2"/>
  <c r="O352" i="2"/>
  <c r="O347" i="2"/>
  <c r="O345" i="2"/>
  <c r="O343" i="2"/>
  <c r="O341" i="2"/>
  <c r="O339" i="2"/>
  <c r="O337" i="2"/>
  <c r="O436" i="2"/>
  <c r="O402" i="2"/>
  <c r="O392" i="2"/>
  <c r="O382" i="2"/>
  <c r="O370" i="2"/>
  <c r="O433" i="2"/>
  <c r="O404" i="2"/>
  <c r="O362" i="2"/>
  <c r="O354" i="2"/>
  <c r="O440" i="2"/>
  <c r="O406" i="2"/>
  <c r="O394" i="2"/>
  <c r="O384" i="2"/>
  <c r="O374" i="2"/>
  <c r="O444" i="2"/>
  <c r="O437" i="2"/>
  <c r="O396" i="2"/>
  <c r="O364" i="2"/>
  <c r="O356" i="2"/>
  <c r="O348" i="2"/>
  <c r="O346" i="2"/>
  <c r="O344" i="2"/>
  <c r="O342" i="2"/>
  <c r="O340" i="2"/>
  <c r="O338" i="2"/>
  <c r="O448" i="2"/>
  <c r="O408" i="2"/>
  <c r="O398" i="2"/>
  <c r="O386" i="2"/>
  <c r="O376" i="2"/>
  <c r="O428" i="2"/>
  <c r="O388" i="2"/>
  <c r="O366" i="2"/>
  <c r="O358" i="2"/>
  <c r="O350" i="2"/>
  <c r="O322" i="2"/>
  <c r="O314" i="2"/>
  <c r="O306" i="2"/>
  <c r="O298" i="2"/>
  <c r="O335" i="2"/>
  <c r="O331" i="2"/>
  <c r="O323" i="2"/>
  <c r="O307" i="2"/>
  <c r="O299" i="2"/>
  <c r="O296" i="2"/>
  <c r="O294" i="2"/>
  <c r="O292" i="2"/>
  <c r="O290" i="2"/>
  <c r="O288" i="2"/>
  <c r="O286" i="2"/>
  <c r="O282" i="2"/>
  <c r="O280" i="2"/>
  <c r="O278" i="2"/>
  <c r="O276" i="2"/>
  <c r="O274" i="2"/>
  <c r="O272" i="2"/>
  <c r="O270" i="2"/>
  <c r="O324" i="2"/>
  <c r="O316" i="2"/>
  <c r="O308" i="2"/>
  <c r="O300" i="2"/>
  <c r="O334" i="2"/>
  <c r="O325" i="2"/>
  <c r="O317" i="2"/>
  <c r="O309" i="2"/>
  <c r="O301" i="2"/>
  <c r="O326" i="2"/>
  <c r="O318" i="2"/>
  <c r="O333" i="2"/>
  <c r="O327" i="2"/>
  <c r="O319" i="2"/>
  <c r="O311" i="2"/>
  <c r="O303" i="2"/>
  <c r="O295" i="2"/>
  <c r="O293" i="2"/>
  <c r="O291" i="2"/>
  <c r="O289" i="2"/>
  <c r="O287" i="2"/>
  <c r="O285" i="2"/>
  <c r="O283" i="2"/>
  <c r="O281" i="2"/>
  <c r="O279" i="2"/>
  <c r="O277" i="2"/>
  <c r="O275" i="2"/>
  <c r="O273" i="2"/>
  <c r="O271" i="2"/>
  <c r="O269" i="2"/>
  <c r="O328" i="2"/>
  <c r="O320" i="2"/>
  <c r="O312" i="2"/>
  <c r="O304" i="2"/>
  <c r="O336" i="2"/>
  <c r="O332" i="2"/>
  <c r="O329" i="2"/>
  <c r="O321" i="2"/>
  <c r="O313" i="2"/>
  <c r="O305" i="2"/>
  <c r="O297" i="2"/>
  <c r="O263" i="2"/>
  <c r="O259" i="2"/>
  <c r="O255" i="2"/>
  <c r="O247" i="2"/>
  <c r="O234" i="2"/>
  <c r="O226" i="2"/>
  <c r="O218" i="2"/>
  <c r="O268" i="2"/>
  <c r="O243" i="2"/>
  <c r="O235" i="2"/>
  <c r="O227" i="2"/>
  <c r="O219" i="2"/>
  <c r="O262" i="2"/>
  <c r="O258" i="2"/>
  <c r="O254" i="2"/>
  <c r="O250" i="2"/>
  <c r="O246" i="2"/>
  <c r="O244" i="2"/>
  <c r="O236" i="2"/>
  <c r="O228" i="2"/>
  <c r="O220" i="2"/>
  <c r="O266" i="2"/>
  <c r="O237" i="2"/>
  <c r="O229" i="2"/>
  <c r="O221" i="2"/>
  <c r="O265" i="2"/>
  <c r="O261" i="2"/>
  <c r="O257" i="2"/>
  <c r="O253" i="2"/>
  <c r="O249" i="2"/>
  <c r="O245" i="2"/>
  <c r="O238" i="2"/>
  <c r="O230" i="2"/>
  <c r="O222" i="2"/>
  <c r="O214" i="2"/>
  <c r="O239" i="2"/>
  <c r="O231" i="2"/>
  <c r="O223" i="2"/>
  <c r="O215" i="2"/>
  <c r="O267" i="2"/>
  <c r="O264" i="2"/>
  <c r="O260" i="2"/>
  <c r="O256" i="2"/>
  <c r="O252" i="2"/>
  <c r="O248" i="2"/>
  <c r="O240" i="2"/>
  <c r="O232" i="2"/>
  <c r="O224" i="2"/>
  <c r="O216" i="2"/>
  <c r="O241" i="2"/>
  <c r="O233" i="2"/>
  <c r="O225" i="2"/>
  <c r="O217" i="2"/>
  <c r="O103" i="2"/>
  <c r="O95" i="2"/>
  <c r="O106" i="2"/>
  <c r="O31" i="2"/>
  <c r="O29" i="2"/>
  <c r="O104" i="2"/>
  <c r="O102" i="2"/>
  <c r="O107" i="2"/>
  <c r="O32" i="2"/>
  <c r="O30" i="2"/>
  <c r="O28" i="2"/>
  <c r="O26" i="2"/>
  <c r="C50" i="1"/>
  <c r="K50" i="1"/>
  <c r="E52" i="1"/>
  <c r="M52" i="1"/>
  <c r="G54" i="1"/>
  <c r="I56" i="1"/>
  <c r="C58" i="1"/>
  <c r="K58" i="1"/>
  <c r="E60" i="1"/>
  <c r="M60" i="1"/>
  <c r="G62" i="1"/>
  <c r="I64" i="1"/>
  <c r="F101" i="2"/>
  <c r="F85" i="2"/>
  <c r="N101" i="2"/>
  <c r="N85" i="2"/>
  <c r="V101" i="2"/>
  <c r="V85" i="2"/>
  <c r="G72" i="1"/>
  <c r="O72" i="1"/>
  <c r="D167" i="1"/>
  <c r="T178" i="2"/>
  <c r="S178" i="2"/>
  <c r="S68" i="2"/>
  <c r="S136" i="2"/>
  <c r="U202" i="1"/>
  <c r="S270" i="1"/>
  <c r="O273" i="1"/>
  <c r="O414" i="1"/>
  <c r="O413" i="1" s="1"/>
  <c r="S431" i="1"/>
  <c r="S429" i="1" s="1"/>
  <c r="S439" i="1"/>
  <c r="S434" i="1" s="1"/>
  <c r="O458" i="1"/>
  <c r="C116" i="2"/>
  <c r="T590" i="1"/>
  <c r="T580" i="1" s="1"/>
  <c r="T578" i="1" s="1"/>
  <c r="T603" i="1"/>
  <c r="I4" i="2"/>
  <c r="I82" i="2"/>
  <c r="I80" i="2"/>
  <c r="I78" i="2"/>
  <c r="I84" i="2"/>
  <c r="I81" i="2"/>
  <c r="I79" i="2"/>
  <c r="I77" i="2"/>
  <c r="E54" i="1"/>
  <c r="V186" i="2"/>
  <c r="V72" i="2"/>
  <c r="T169" i="2"/>
  <c r="T118" i="2"/>
  <c r="T50" i="2"/>
  <c r="T180" i="2"/>
  <c r="T130" i="2"/>
  <c r="T190" i="2"/>
  <c r="G75" i="2"/>
  <c r="G35" i="2"/>
  <c r="G25" i="2"/>
  <c r="G18" i="2"/>
  <c r="G16" i="2"/>
  <c r="G74" i="2"/>
  <c r="G34" i="2"/>
  <c r="G73" i="2"/>
  <c r="G21" i="2"/>
  <c r="G22" i="2"/>
  <c r="G19" i="2"/>
  <c r="G17" i="2"/>
  <c r="G15" i="2"/>
  <c r="G13" i="2"/>
  <c r="G14" i="2" s="1"/>
  <c r="G5" i="2"/>
  <c r="G3" i="2"/>
  <c r="L71" i="2"/>
  <c r="L63" i="2"/>
  <c r="L55" i="2"/>
  <c r="L65" i="2"/>
  <c r="L57" i="2"/>
  <c r="L7" i="2"/>
  <c r="L67" i="2"/>
  <c r="L59" i="2"/>
  <c r="L51" i="2"/>
  <c r="L47" i="2"/>
  <c r="L69" i="2"/>
  <c r="L61" i="2"/>
  <c r="L53" i="2"/>
  <c r="L27" i="2"/>
  <c r="L16" i="2"/>
  <c r="L49" i="2"/>
  <c r="T71" i="2"/>
  <c r="T63" i="2"/>
  <c r="T55" i="2"/>
  <c r="T65" i="2"/>
  <c r="T57" i="2"/>
  <c r="T7" i="2"/>
  <c r="T67" i="2"/>
  <c r="T59" i="2"/>
  <c r="T51" i="2"/>
  <c r="T47" i="2"/>
  <c r="T69" i="2"/>
  <c r="T61" i="2"/>
  <c r="T53" i="2"/>
  <c r="T27" i="2"/>
  <c r="T16" i="2"/>
  <c r="T49" i="2"/>
  <c r="D84" i="2"/>
  <c r="D81" i="2"/>
  <c r="D79" i="2"/>
  <c r="D77" i="2"/>
  <c r="D4" i="2"/>
  <c r="D82" i="2"/>
  <c r="D80" i="2"/>
  <c r="D78" i="2"/>
  <c r="L84" i="2"/>
  <c r="L81" i="2"/>
  <c r="L79" i="2"/>
  <c r="L77" i="2"/>
  <c r="L4" i="2"/>
  <c r="L82" i="2"/>
  <c r="L80" i="2"/>
  <c r="L78" i="2"/>
  <c r="T81" i="2"/>
  <c r="T79" i="2"/>
  <c r="T77" i="2"/>
  <c r="T4" i="2"/>
  <c r="T83" i="2"/>
  <c r="T82" i="2"/>
  <c r="T80" i="2"/>
  <c r="T78" i="2"/>
  <c r="H688" i="2"/>
  <c r="H686" i="2"/>
  <c r="H684" i="2"/>
  <c r="H682" i="2"/>
  <c r="H680" i="2"/>
  <c r="H676" i="2"/>
  <c r="H674" i="2"/>
  <c r="H672" i="2"/>
  <c r="H670" i="2"/>
  <c r="H689" i="2"/>
  <c r="H687" i="2"/>
  <c r="H685" i="2"/>
  <c r="H683" i="2"/>
  <c r="H681" i="2"/>
  <c r="H677" i="2"/>
  <c r="H671" i="2"/>
  <c r="H667" i="2"/>
  <c r="H665" i="2"/>
  <c r="H663" i="2"/>
  <c r="H661" i="2"/>
  <c r="H659" i="2"/>
  <c r="H657" i="2"/>
  <c r="H655" i="2"/>
  <c r="H653" i="2"/>
  <c r="H651" i="2"/>
  <c r="H649" i="2"/>
  <c r="H647" i="2"/>
  <c r="H662" i="2"/>
  <c r="H669" i="2"/>
  <c r="H658" i="2"/>
  <c r="H656" i="2"/>
  <c r="H644" i="2"/>
  <c r="H642" i="2"/>
  <c r="H636" i="2"/>
  <c r="H654" i="2"/>
  <c r="H652" i="2"/>
  <c r="H645" i="2"/>
  <c r="H640" i="2"/>
  <c r="H639" i="2"/>
  <c r="H634" i="2"/>
  <c r="H632" i="2"/>
  <c r="H630" i="2"/>
  <c r="H628" i="2"/>
  <c r="H626" i="2"/>
  <c r="H641" i="2"/>
  <c r="H631" i="2"/>
  <c r="H675" i="2"/>
  <c r="H633" i="2"/>
  <c r="H679" i="2"/>
  <c r="H629" i="2"/>
  <c r="H624" i="2"/>
  <c r="H619" i="2"/>
  <c r="H611" i="2"/>
  <c r="H664" i="2"/>
  <c r="H646" i="2"/>
  <c r="H614" i="2"/>
  <c r="H613" i="2"/>
  <c r="H597" i="2"/>
  <c r="H592" i="2"/>
  <c r="H576" i="2"/>
  <c r="H668" i="2"/>
  <c r="H623" i="2"/>
  <c r="H615" i="2"/>
  <c r="H606" i="2"/>
  <c r="H673" i="2"/>
  <c r="H618" i="2"/>
  <c r="H607" i="2"/>
  <c r="H591" i="2"/>
  <c r="H590" i="2"/>
  <c r="H579" i="2"/>
  <c r="H578" i="2"/>
  <c r="H566" i="2"/>
  <c r="H627" i="2"/>
  <c r="H595" i="2"/>
  <c r="H594" i="2"/>
  <c r="H583" i="2"/>
  <c r="H582" i="2"/>
  <c r="H571" i="2"/>
  <c r="H564" i="2"/>
  <c r="H635" i="2"/>
  <c r="H638" i="2"/>
  <c r="H617" i="2"/>
  <c r="H612" i="2"/>
  <c r="H610" i="2"/>
  <c r="H601" i="2"/>
  <c r="H588" i="2"/>
  <c r="H574" i="2"/>
  <c r="H568" i="2"/>
  <c r="H565" i="2"/>
  <c r="H556" i="2"/>
  <c r="H548" i="2"/>
  <c r="H620" i="2"/>
  <c r="H609" i="2"/>
  <c r="H608" i="2"/>
  <c r="H600" i="2"/>
  <c r="H650" i="2"/>
  <c r="H643" i="2"/>
  <c r="H637" i="2"/>
  <c r="H605" i="2"/>
  <c r="H604" i="2"/>
  <c r="H575" i="2"/>
  <c r="H560" i="2"/>
  <c r="H552" i="2"/>
  <c r="H648" i="2"/>
  <c r="H666" i="2"/>
  <c r="H598" i="2"/>
  <c r="H540" i="2"/>
  <c r="H532" i="2"/>
  <c r="H622" i="2"/>
  <c r="H603" i="2"/>
  <c r="H599" i="2"/>
  <c r="H580" i="2"/>
  <c r="H551" i="2"/>
  <c r="H541" i="2"/>
  <c r="H533" i="2"/>
  <c r="H558" i="2"/>
  <c r="H593" i="2"/>
  <c r="H577" i="2"/>
  <c r="H543" i="2"/>
  <c r="H535" i="2"/>
  <c r="H660" i="2"/>
  <c r="H570" i="2"/>
  <c r="H559" i="2"/>
  <c r="H530" i="2"/>
  <c r="H524" i="2"/>
  <c r="H517" i="2"/>
  <c r="H584" i="2"/>
  <c r="H545" i="2"/>
  <c r="H527" i="2"/>
  <c r="H518" i="2"/>
  <c r="H513" i="2"/>
  <c r="H621" i="2"/>
  <c r="H544" i="2"/>
  <c r="H539" i="2"/>
  <c r="H525" i="2"/>
  <c r="H514" i="2"/>
  <c r="H587" i="2"/>
  <c r="H572" i="2"/>
  <c r="H562" i="2"/>
  <c r="H555" i="2"/>
  <c r="H554" i="2"/>
  <c r="H536" i="2"/>
  <c r="H531" i="2"/>
  <c r="H519" i="2"/>
  <c r="H509" i="2"/>
  <c r="H547" i="2"/>
  <c r="H586" i="2"/>
  <c r="H549" i="2"/>
  <c r="H505" i="2"/>
  <c r="H503" i="2"/>
  <c r="H501" i="2"/>
  <c r="H497" i="2"/>
  <c r="H495" i="2"/>
  <c r="H553" i="2"/>
  <c r="H538" i="2"/>
  <c r="H585" i="2"/>
  <c r="H567" i="2"/>
  <c r="H528" i="2"/>
  <c r="H511" i="2"/>
  <c r="H563" i="2"/>
  <c r="H510" i="2"/>
  <c r="H573" i="2"/>
  <c r="H557" i="2"/>
  <c r="H550" i="2"/>
  <c r="H546" i="2"/>
  <c r="H534" i="2"/>
  <c r="H529" i="2"/>
  <c r="H520" i="2"/>
  <c r="H506" i="2"/>
  <c r="H504" i="2"/>
  <c r="H502" i="2"/>
  <c r="H500" i="2"/>
  <c r="H498" i="2"/>
  <c r="H496" i="2"/>
  <c r="H494" i="2"/>
  <c r="H616" i="2"/>
  <c r="H515" i="2"/>
  <c r="H596" i="2"/>
  <c r="H537" i="2"/>
  <c r="H521" i="2"/>
  <c r="H516" i="2"/>
  <c r="H508" i="2"/>
  <c r="H523" i="2"/>
  <c r="H486" i="2"/>
  <c r="H478" i="2"/>
  <c r="H470" i="2"/>
  <c r="H462" i="2"/>
  <c r="H454" i="2"/>
  <c r="H446" i="2"/>
  <c r="H430" i="2"/>
  <c r="H487" i="2"/>
  <c r="H479" i="2"/>
  <c r="H471" i="2"/>
  <c r="H463" i="2"/>
  <c r="H455" i="2"/>
  <c r="H447" i="2"/>
  <c r="H512" i="2"/>
  <c r="H488" i="2"/>
  <c r="H480" i="2"/>
  <c r="H472" i="2"/>
  <c r="H464" i="2"/>
  <c r="H489" i="2"/>
  <c r="H481" i="2"/>
  <c r="H473" i="2"/>
  <c r="H465" i="2"/>
  <c r="H457" i="2"/>
  <c r="H449" i="2"/>
  <c r="H441" i="2"/>
  <c r="H433" i="2"/>
  <c r="H425" i="2"/>
  <c r="H423" i="2"/>
  <c r="H421" i="2"/>
  <c r="H419" i="2"/>
  <c r="H417" i="2"/>
  <c r="H415" i="2"/>
  <c r="H490" i="2"/>
  <c r="H482" i="2"/>
  <c r="H474" i="2"/>
  <c r="H466" i="2"/>
  <c r="H458" i="2"/>
  <c r="H450" i="2"/>
  <c r="H442" i="2"/>
  <c r="H434" i="2"/>
  <c r="H491" i="2"/>
  <c r="H483" i="2"/>
  <c r="H475" i="2"/>
  <c r="H467" i="2"/>
  <c r="H459" i="2"/>
  <c r="H492" i="2"/>
  <c r="H476" i="2"/>
  <c r="H468" i="2"/>
  <c r="H460" i="2"/>
  <c r="H452" i="2"/>
  <c r="H493" i="2"/>
  <c r="H485" i="2"/>
  <c r="H477" i="2"/>
  <c r="H469" i="2"/>
  <c r="H461" i="2"/>
  <c r="H453" i="2"/>
  <c r="H445" i="2"/>
  <c r="H437" i="2"/>
  <c r="H429" i="2"/>
  <c r="H426" i="2"/>
  <c r="H422" i="2"/>
  <c r="H420" i="2"/>
  <c r="H418" i="2"/>
  <c r="H416" i="2"/>
  <c r="H414" i="2"/>
  <c r="H412" i="2"/>
  <c r="H410" i="2"/>
  <c r="H408" i="2"/>
  <c r="H406" i="2"/>
  <c r="H404" i="2"/>
  <c r="H402" i="2"/>
  <c r="H400" i="2"/>
  <c r="H398" i="2"/>
  <c r="H396" i="2"/>
  <c r="H394" i="2"/>
  <c r="H392" i="2"/>
  <c r="H390" i="2"/>
  <c r="H388" i="2"/>
  <c r="H386" i="2"/>
  <c r="H384" i="2"/>
  <c r="H382" i="2"/>
  <c r="H380" i="2"/>
  <c r="H378" i="2"/>
  <c r="H376" i="2"/>
  <c r="H374" i="2"/>
  <c r="H370" i="2"/>
  <c r="H451" i="2"/>
  <c r="H436" i="2"/>
  <c r="H405" i="2"/>
  <c r="H397" i="2"/>
  <c r="H389" i="2"/>
  <c r="H381" i="2"/>
  <c r="H373" i="2"/>
  <c r="H440" i="2"/>
  <c r="H407" i="2"/>
  <c r="H399" i="2"/>
  <c r="H391" i="2"/>
  <c r="H383" i="2"/>
  <c r="H375" i="2"/>
  <c r="H431" i="2"/>
  <c r="H428" i="2"/>
  <c r="H411" i="2"/>
  <c r="H401" i="2"/>
  <c r="H379" i="2"/>
  <c r="H369" i="2"/>
  <c r="H363" i="2"/>
  <c r="H355" i="2"/>
  <c r="H435" i="2"/>
  <c r="H364" i="2"/>
  <c r="H356" i="2"/>
  <c r="H439" i="2"/>
  <c r="H432" i="2"/>
  <c r="H403" i="2"/>
  <c r="H393" i="2"/>
  <c r="H371" i="2"/>
  <c r="H365" i="2"/>
  <c r="H357" i="2"/>
  <c r="H349" i="2"/>
  <c r="H443" i="2"/>
  <c r="H366" i="2"/>
  <c r="H395" i="2"/>
  <c r="H367" i="2"/>
  <c r="H359" i="2"/>
  <c r="H351" i="2"/>
  <c r="H427" i="2"/>
  <c r="H368" i="2"/>
  <c r="H360" i="2"/>
  <c r="H352" i="2"/>
  <c r="H448" i="2"/>
  <c r="H444" i="2"/>
  <c r="H387" i="2"/>
  <c r="H377" i="2"/>
  <c r="H361" i="2"/>
  <c r="H353" i="2"/>
  <c r="H342" i="2"/>
  <c r="H333" i="2"/>
  <c r="H325" i="2"/>
  <c r="H317" i="2"/>
  <c r="H309" i="2"/>
  <c r="H301" i="2"/>
  <c r="H296" i="2"/>
  <c r="H294" i="2"/>
  <c r="H292" i="2"/>
  <c r="H290" i="2"/>
  <c r="H288" i="2"/>
  <c r="H286" i="2"/>
  <c r="H282" i="2"/>
  <c r="H280" i="2"/>
  <c r="H278" i="2"/>
  <c r="H276" i="2"/>
  <c r="H274" i="2"/>
  <c r="H272" i="2"/>
  <c r="H270" i="2"/>
  <c r="H268" i="2"/>
  <c r="H266" i="2"/>
  <c r="H264" i="2"/>
  <c r="H262" i="2"/>
  <c r="H260" i="2"/>
  <c r="H258" i="2"/>
  <c r="H256" i="2"/>
  <c r="H254" i="2"/>
  <c r="H252" i="2"/>
  <c r="H250" i="2"/>
  <c r="H248" i="2"/>
  <c r="H246" i="2"/>
  <c r="H345" i="2"/>
  <c r="H337" i="2"/>
  <c r="H326" i="2"/>
  <c r="H318" i="2"/>
  <c r="H350" i="2"/>
  <c r="H348" i="2"/>
  <c r="H340" i="2"/>
  <c r="H336" i="2"/>
  <c r="H332" i="2"/>
  <c r="H327" i="2"/>
  <c r="H319" i="2"/>
  <c r="H311" i="2"/>
  <c r="H303" i="2"/>
  <c r="H354" i="2"/>
  <c r="H343" i="2"/>
  <c r="H328" i="2"/>
  <c r="H320" i="2"/>
  <c r="H312" i="2"/>
  <c r="H304" i="2"/>
  <c r="H358" i="2"/>
  <c r="H346" i="2"/>
  <c r="H338" i="2"/>
  <c r="H335" i="2"/>
  <c r="H329" i="2"/>
  <c r="H321" i="2"/>
  <c r="H313" i="2"/>
  <c r="H305" i="2"/>
  <c r="H295" i="2"/>
  <c r="H293" i="2"/>
  <c r="H291" i="2"/>
  <c r="H289" i="2"/>
  <c r="H287" i="2"/>
  <c r="H285" i="2"/>
  <c r="H283" i="2"/>
  <c r="H281" i="2"/>
  <c r="H279" i="2"/>
  <c r="H277" i="2"/>
  <c r="H275" i="2"/>
  <c r="H273" i="2"/>
  <c r="H271" i="2"/>
  <c r="H269" i="2"/>
  <c r="H267" i="2"/>
  <c r="H265" i="2"/>
  <c r="H263" i="2"/>
  <c r="H261" i="2"/>
  <c r="H259" i="2"/>
  <c r="H257" i="2"/>
  <c r="H255" i="2"/>
  <c r="H253" i="2"/>
  <c r="H249" i="2"/>
  <c r="H247" i="2"/>
  <c r="H362" i="2"/>
  <c r="H341" i="2"/>
  <c r="H322" i="2"/>
  <c r="H314" i="2"/>
  <c r="H306" i="2"/>
  <c r="H298" i="2"/>
  <c r="H297" i="2"/>
  <c r="H344" i="2"/>
  <c r="H334" i="2"/>
  <c r="H331" i="2"/>
  <c r="H323" i="2"/>
  <c r="H307" i="2"/>
  <c r="H299" i="2"/>
  <c r="H347" i="2"/>
  <c r="H339" i="2"/>
  <c r="H324" i="2"/>
  <c r="H316" i="2"/>
  <c r="H308" i="2"/>
  <c r="H300" i="2"/>
  <c r="H245" i="2"/>
  <c r="H237" i="2"/>
  <c r="H229" i="2"/>
  <c r="H221" i="2"/>
  <c r="H238" i="2"/>
  <c r="H230" i="2"/>
  <c r="H222" i="2"/>
  <c r="H214" i="2"/>
  <c r="H239" i="2"/>
  <c r="H231" i="2"/>
  <c r="H223" i="2"/>
  <c r="H215" i="2"/>
  <c r="H240" i="2"/>
  <c r="H232" i="2"/>
  <c r="H224" i="2"/>
  <c r="H216" i="2"/>
  <c r="H241" i="2"/>
  <c r="H233" i="2"/>
  <c r="H225" i="2"/>
  <c r="H217" i="2"/>
  <c r="H234" i="2"/>
  <c r="H226" i="2"/>
  <c r="H218" i="2"/>
  <c r="H243" i="2"/>
  <c r="H235" i="2"/>
  <c r="H227" i="2"/>
  <c r="H219" i="2"/>
  <c r="H244" i="2"/>
  <c r="H236" i="2"/>
  <c r="H228" i="2"/>
  <c r="H220" i="2"/>
  <c r="H103" i="2"/>
  <c r="H95" i="2"/>
  <c r="H106" i="2"/>
  <c r="H31" i="2"/>
  <c r="H29" i="2"/>
  <c r="H27" i="2"/>
  <c r="H104" i="2"/>
  <c r="H102" i="2"/>
  <c r="H107" i="2"/>
  <c r="H32" i="2"/>
  <c r="H30" i="2"/>
  <c r="H28" i="2"/>
  <c r="H26" i="2"/>
  <c r="P688" i="2"/>
  <c r="P686" i="2"/>
  <c r="P684" i="2"/>
  <c r="P682" i="2"/>
  <c r="P680" i="2"/>
  <c r="P676" i="2"/>
  <c r="P674" i="2"/>
  <c r="P672" i="2"/>
  <c r="P670" i="2"/>
  <c r="P689" i="2"/>
  <c r="P687" i="2"/>
  <c r="P685" i="2"/>
  <c r="P683" i="2"/>
  <c r="P679" i="2"/>
  <c r="P675" i="2"/>
  <c r="P673" i="2"/>
  <c r="P669" i="2"/>
  <c r="P668" i="2"/>
  <c r="P671" i="2"/>
  <c r="P667" i="2"/>
  <c r="P665" i="2"/>
  <c r="P663" i="2"/>
  <c r="P661" i="2"/>
  <c r="P659" i="2"/>
  <c r="P657" i="2"/>
  <c r="P655" i="2"/>
  <c r="P653" i="2"/>
  <c r="P651" i="2"/>
  <c r="P649" i="2"/>
  <c r="P647" i="2"/>
  <c r="P652" i="2"/>
  <c r="P664" i="2"/>
  <c r="P648" i="2"/>
  <c r="P662" i="2"/>
  <c r="P644" i="2"/>
  <c r="P642" i="2"/>
  <c r="P650" i="2"/>
  <c r="P641" i="2"/>
  <c r="P666" i="2"/>
  <c r="P638" i="2"/>
  <c r="P637" i="2"/>
  <c r="P635" i="2"/>
  <c r="P632" i="2"/>
  <c r="P630" i="2"/>
  <c r="P628" i="2"/>
  <c r="P626" i="2"/>
  <c r="P624" i="2"/>
  <c r="P629" i="2"/>
  <c r="P643" i="2"/>
  <c r="P639" i="2"/>
  <c r="P631" i="2"/>
  <c r="P623" i="2"/>
  <c r="P617" i="2"/>
  <c r="P606" i="2"/>
  <c r="P658" i="2"/>
  <c r="P656" i="2"/>
  <c r="P636" i="2"/>
  <c r="P611" i="2"/>
  <c r="P598" i="2"/>
  <c r="P587" i="2"/>
  <c r="P582" i="2"/>
  <c r="P571" i="2"/>
  <c r="P660" i="2"/>
  <c r="P645" i="2"/>
  <c r="P633" i="2"/>
  <c r="P614" i="2"/>
  <c r="P604" i="2"/>
  <c r="P603" i="2"/>
  <c r="P601" i="2"/>
  <c r="P620" i="2"/>
  <c r="P616" i="2"/>
  <c r="P608" i="2"/>
  <c r="P576" i="2"/>
  <c r="P567" i="2"/>
  <c r="P677" i="2"/>
  <c r="P654" i="2"/>
  <c r="P592" i="2"/>
  <c r="P580" i="2"/>
  <c r="P565" i="2"/>
  <c r="P622" i="2"/>
  <c r="P621" i="2"/>
  <c r="P605" i="2"/>
  <c r="P591" i="2"/>
  <c r="P575" i="2"/>
  <c r="P554" i="2"/>
  <c r="P593" i="2"/>
  <c r="P615" i="2"/>
  <c r="P613" i="2"/>
  <c r="P612" i="2"/>
  <c r="P590" i="2"/>
  <c r="P583" i="2"/>
  <c r="P574" i="2"/>
  <c r="P558" i="2"/>
  <c r="P550" i="2"/>
  <c r="P681" i="2"/>
  <c r="P646" i="2"/>
  <c r="P563" i="2"/>
  <c r="P546" i="2"/>
  <c r="P538" i="2"/>
  <c r="P530" i="2"/>
  <c r="P634" i="2"/>
  <c r="P618" i="2"/>
  <c r="P610" i="2"/>
  <c r="P600" i="2"/>
  <c r="P595" i="2"/>
  <c r="P594" i="2"/>
  <c r="P557" i="2"/>
  <c r="P552" i="2"/>
  <c r="P547" i="2"/>
  <c r="P539" i="2"/>
  <c r="P531" i="2"/>
  <c r="P627" i="2"/>
  <c r="P607" i="2"/>
  <c r="P586" i="2"/>
  <c r="P585" i="2"/>
  <c r="P573" i="2"/>
  <c r="P566" i="2"/>
  <c r="P562" i="2"/>
  <c r="P559" i="2"/>
  <c r="P597" i="2"/>
  <c r="P596" i="2"/>
  <c r="P584" i="2"/>
  <c r="P572" i="2"/>
  <c r="P570" i="2"/>
  <c r="P549" i="2"/>
  <c r="P541" i="2"/>
  <c r="P533" i="2"/>
  <c r="P577" i="2"/>
  <c r="P568" i="2"/>
  <c r="P560" i="2"/>
  <c r="P551" i="2"/>
  <c r="P545" i="2"/>
  <c r="P523" i="2"/>
  <c r="P516" i="2"/>
  <c r="P609" i="2"/>
  <c r="P564" i="2"/>
  <c r="P553" i="2"/>
  <c r="P537" i="2"/>
  <c r="P524" i="2"/>
  <c r="P517" i="2"/>
  <c r="P511" i="2"/>
  <c r="P599" i="2"/>
  <c r="P578" i="2"/>
  <c r="P536" i="2"/>
  <c r="P512" i="2"/>
  <c r="P640" i="2"/>
  <c r="P619" i="2"/>
  <c r="P579" i="2"/>
  <c r="P525" i="2"/>
  <c r="P515" i="2"/>
  <c r="P528" i="2"/>
  <c r="P543" i="2"/>
  <c r="P519" i="2"/>
  <c r="P510" i="2"/>
  <c r="P505" i="2"/>
  <c r="P503" i="2"/>
  <c r="P501" i="2"/>
  <c r="P497" i="2"/>
  <c r="P495" i="2"/>
  <c r="P555" i="2"/>
  <c r="P548" i="2"/>
  <c r="P534" i="2"/>
  <c r="P529" i="2"/>
  <c r="P514" i="2"/>
  <c r="P508" i="2"/>
  <c r="P588" i="2"/>
  <c r="P544" i="2"/>
  <c r="P532" i="2"/>
  <c r="P521" i="2"/>
  <c r="P513" i="2"/>
  <c r="P504" i="2"/>
  <c r="P502" i="2"/>
  <c r="P500" i="2"/>
  <c r="P498" i="2"/>
  <c r="P496" i="2"/>
  <c r="P494" i="2"/>
  <c r="P556" i="2"/>
  <c r="P535" i="2"/>
  <c r="P506" i="2"/>
  <c r="P540" i="2"/>
  <c r="P527" i="2"/>
  <c r="P518" i="2"/>
  <c r="P492" i="2"/>
  <c r="P476" i="2"/>
  <c r="P468" i="2"/>
  <c r="P460" i="2"/>
  <c r="P452" i="2"/>
  <c r="P444" i="2"/>
  <c r="P436" i="2"/>
  <c r="P428" i="2"/>
  <c r="P485" i="2"/>
  <c r="P477" i="2"/>
  <c r="P469" i="2"/>
  <c r="P461" i="2"/>
  <c r="P453" i="2"/>
  <c r="P520" i="2"/>
  <c r="P493" i="2"/>
  <c r="P486" i="2"/>
  <c r="P478" i="2"/>
  <c r="P470" i="2"/>
  <c r="P462" i="2"/>
  <c r="P454" i="2"/>
  <c r="P487" i="2"/>
  <c r="P479" i="2"/>
  <c r="P471" i="2"/>
  <c r="P463" i="2"/>
  <c r="P455" i="2"/>
  <c r="P447" i="2"/>
  <c r="P439" i="2"/>
  <c r="P431" i="2"/>
  <c r="P425" i="2"/>
  <c r="P423" i="2"/>
  <c r="P421" i="2"/>
  <c r="P419" i="2"/>
  <c r="P417" i="2"/>
  <c r="P415" i="2"/>
  <c r="P488" i="2"/>
  <c r="P480" i="2"/>
  <c r="P472" i="2"/>
  <c r="P464" i="2"/>
  <c r="P448" i="2"/>
  <c r="P440" i="2"/>
  <c r="P432" i="2"/>
  <c r="P509" i="2"/>
  <c r="P489" i="2"/>
  <c r="P481" i="2"/>
  <c r="P473" i="2"/>
  <c r="P465" i="2"/>
  <c r="P457" i="2"/>
  <c r="P490" i="2"/>
  <c r="P482" i="2"/>
  <c r="P474" i="2"/>
  <c r="P466" i="2"/>
  <c r="P458" i="2"/>
  <c r="P450" i="2"/>
  <c r="P491" i="2"/>
  <c r="P483" i="2"/>
  <c r="P475" i="2"/>
  <c r="P467" i="2"/>
  <c r="P459" i="2"/>
  <c r="P451" i="2"/>
  <c r="P443" i="2"/>
  <c r="P435" i="2"/>
  <c r="P427" i="2"/>
  <c r="P426" i="2"/>
  <c r="P422" i="2"/>
  <c r="P420" i="2"/>
  <c r="P418" i="2"/>
  <c r="P416" i="2"/>
  <c r="P414" i="2"/>
  <c r="P412" i="2"/>
  <c r="P410" i="2"/>
  <c r="P408" i="2"/>
  <c r="P406" i="2"/>
  <c r="P404" i="2"/>
  <c r="P402" i="2"/>
  <c r="P400" i="2"/>
  <c r="P398" i="2"/>
  <c r="P396" i="2"/>
  <c r="P394" i="2"/>
  <c r="P392" i="2"/>
  <c r="P390" i="2"/>
  <c r="P388" i="2"/>
  <c r="P386" i="2"/>
  <c r="P384" i="2"/>
  <c r="P382" i="2"/>
  <c r="P380" i="2"/>
  <c r="P378" i="2"/>
  <c r="P376" i="2"/>
  <c r="P374" i="2"/>
  <c r="P370" i="2"/>
  <c r="P442" i="2"/>
  <c r="P411" i="2"/>
  <c r="P403" i="2"/>
  <c r="P395" i="2"/>
  <c r="P387" i="2"/>
  <c r="P379" i="2"/>
  <c r="P371" i="2"/>
  <c r="P430" i="2"/>
  <c r="P405" i="2"/>
  <c r="P397" i="2"/>
  <c r="P389" i="2"/>
  <c r="P381" i="2"/>
  <c r="P373" i="2"/>
  <c r="P368" i="2"/>
  <c r="P429" i="2"/>
  <c r="P407" i="2"/>
  <c r="P375" i="2"/>
  <c r="P361" i="2"/>
  <c r="P353" i="2"/>
  <c r="P433" i="2"/>
  <c r="P362" i="2"/>
  <c r="P354" i="2"/>
  <c r="P449" i="2"/>
  <c r="P446" i="2"/>
  <c r="P399" i="2"/>
  <c r="P377" i="2"/>
  <c r="P363" i="2"/>
  <c r="P355" i="2"/>
  <c r="P437" i="2"/>
  <c r="P434" i="2"/>
  <c r="P401" i="2"/>
  <c r="P391" i="2"/>
  <c r="P369" i="2"/>
  <c r="P365" i="2"/>
  <c r="P357" i="2"/>
  <c r="P349" i="2"/>
  <c r="P441" i="2"/>
  <c r="P366" i="2"/>
  <c r="P358" i="2"/>
  <c r="P350" i="2"/>
  <c r="P445" i="2"/>
  <c r="P393" i="2"/>
  <c r="P383" i="2"/>
  <c r="P367" i="2"/>
  <c r="P359" i="2"/>
  <c r="P351" i="2"/>
  <c r="P348" i="2"/>
  <c r="P340" i="2"/>
  <c r="P335" i="2"/>
  <c r="P331" i="2"/>
  <c r="P323" i="2"/>
  <c r="P307" i="2"/>
  <c r="P299" i="2"/>
  <c r="P296" i="2"/>
  <c r="P294" i="2"/>
  <c r="P292" i="2"/>
  <c r="P290" i="2"/>
  <c r="P288" i="2"/>
  <c r="P286" i="2"/>
  <c r="P282" i="2"/>
  <c r="P280" i="2"/>
  <c r="P278" i="2"/>
  <c r="P276" i="2"/>
  <c r="P274" i="2"/>
  <c r="P272" i="2"/>
  <c r="P270" i="2"/>
  <c r="P268" i="2"/>
  <c r="P266" i="2"/>
  <c r="P264" i="2"/>
  <c r="P262" i="2"/>
  <c r="P260" i="2"/>
  <c r="P258" i="2"/>
  <c r="P256" i="2"/>
  <c r="P254" i="2"/>
  <c r="P252" i="2"/>
  <c r="P250" i="2"/>
  <c r="P248" i="2"/>
  <c r="P246" i="2"/>
  <c r="P352" i="2"/>
  <c r="P343" i="2"/>
  <c r="P324" i="2"/>
  <c r="P316" i="2"/>
  <c r="P308" i="2"/>
  <c r="P300" i="2"/>
  <c r="P356" i="2"/>
  <c r="P346" i="2"/>
  <c r="P338" i="2"/>
  <c r="P334" i="2"/>
  <c r="P325" i="2"/>
  <c r="P317" i="2"/>
  <c r="P309" i="2"/>
  <c r="P301" i="2"/>
  <c r="P360" i="2"/>
  <c r="P341" i="2"/>
  <c r="P326" i="2"/>
  <c r="P318" i="2"/>
  <c r="P364" i="2"/>
  <c r="P344" i="2"/>
  <c r="P333" i="2"/>
  <c r="P327" i="2"/>
  <c r="P319" i="2"/>
  <c r="P311" i="2"/>
  <c r="P303" i="2"/>
  <c r="P295" i="2"/>
  <c r="P293" i="2"/>
  <c r="P291" i="2"/>
  <c r="P289" i="2"/>
  <c r="P287" i="2"/>
  <c r="P285" i="2"/>
  <c r="P283" i="2"/>
  <c r="P281" i="2"/>
  <c r="P279" i="2"/>
  <c r="P277" i="2"/>
  <c r="P275" i="2"/>
  <c r="P273" i="2"/>
  <c r="P271" i="2"/>
  <c r="P269" i="2"/>
  <c r="P267" i="2"/>
  <c r="P265" i="2"/>
  <c r="P263" i="2"/>
  <c r="P261" i="2"/>
  <c r="P259" i="2"/>
  <c r="P257" i="2"/>
  <c r="P255" i="2"/>
  <c r="P253" i="2"/>
  <c r="P249" i="2"/>
  <c r="P247" i="2"/>
  <c r="P245" i="2"/>
  <c r="P347" i="2"/>
  <c r="P339" i="2"/>
  <c r="P328" i="2"/>
  <c r="P320" i="2"/>
  <c r="P312" i="2"/>
  <c r="P304" i="2"/>
  <c r="P342" i="2"/>
  <c r="P336" i="2"/>
  <c r="P332" i="2"/>
  <c r="P329" i="2"/>
  <c r="P321" i="2"/>
  <c r="P313" i="2"/>
  <c r="P305" i="2"/>
  <c r="P297" i="2"/>
  <c r="P345" i="2"/>
  <c r="P337" i="2"/>
  <c r="P322" i="2"/>
  <c r="P314" i="2"/>
  <c r="P306" i="2"/>
  <c r="P298" i="2"/>
  <c r="P243" i="2"/>
  <c r="P235" i="2"/>
  <c r="P227" i="2"/>
  <c r="P219" i="2"/>
  <c r="P244" i="2"/>
  <c r="P236" i="2"/>
  <c r="P228" i="2"/>
  <c r="P220" i="2"/>
  <c r="P237" i="2"/>
  <c r="P229" i="2"/>
  <c r="P221" i="2"/>
  <c r="P238" i="2"/>
  <c r="P230" i="2"/>
  <c r="P222" i="2"/>
  <c r="P214" i="2"/>
  <c r="P239" i="2"/>
  <c r="P231" i="2"/>
  <c r="P223" i="2"/>
  <c r="P215" i="2"/>
  <c r="P240" i="2"/>
  <c r="P232" i="2"/>
  <c r="P224" i="2"/>
  <c r="P216" i="2"/>
  <c r="P241" i="2"/>
  <c r="P233" i="2"/>
  <c r="P225" i="2"/>
  <c r="P217" i="2"/>
  <c r="P234" i="2"/>
  <c r="P226" i="2"/>
  <c r="P218" i="2"/>
  <c r="P103" i="2"/>
  <c r="P95" i="2"/>
  <c r="P106" i="2"/>
  <c r="P31" i="2"/>
  <c r="P29" i="2"/>
  <c r="P104" i="2"/>
  <c r="P102" i="2"/>
  <c r="P107" i="2"/>
  <c r="P105" i="2"/>
  <c r="P32" i="2"/>
  <c r="P30" i="2"/>
  <c r="P28" i="2"/>
  <c r="P26" i="2"/>
  <c r="D50" i="1"/>
  <c r="L50" i="1"/>
  <c r="I51" i="1"/>
  <c r="C53" i="1"/>
  <c r="K53" i="1"/>
  <c r="H54" i="1"/>
  <c r="E55" i="1"/>
  <c r="M55" i="1"/>
  <c r="G57" i="1"/>
  <c r="C61" i="1"/>
  <c r="K61" i="1"/>
  <c r="H62" i="1"/>
  <c r="M63" i="1"/>
  <c r="G101" i="2"/>
  <c r="G85" i="2"/>
  <c r="O101" i="2"/>
  <c r="O85" i="2"/>
  <c r="Q166" i="1"/>
  <c r="M169" i="1"/>
  <c r="Q125" i="2"/>
  <c r="V182" i="1"/>
  <c r="F133" i="2"/>
  <c r="P155" i="2"/>
  <c r="N163" i="2"/>
  <c r="M215" i="1"/>
  <c r="U215" i="1"/>
  <c r="H269" i="1"/>
  <c r="H271" i="1"/>
  <c r="P273" i="1"/>
  <c r="N168" i="2"/>
  <c r="N48" i="2"/>
  <c r="N118" i="2"/>
  <c r="H346" i="1"/>
  <c r="H344" i="1" s="1"/>
  <c r="H1079" i="1" s="1"/>
  <c r="P346" i="1"/>
  <c r="P344" i="1" s="1"/>
  <c r="P414" i="1"/>
  <c r="P413" i="1" s="1"/>
  <c r="T415" i="1"/>
  <c r="P418" i="1"/>
  <c r="T419" i="1"/>
  <c r="D427" i="1"/>
  <c r="L427" i="1"/>
  <c r="D431" i="1"/>
  <c r="E187" i="1" s="1"/>
  <c r="T437" i="1"/>
  <c r="P438" i="1"/>
  <c r="P452" i="1"/>
  <c r="I573" i="1"/>
  <c r="I560" i="1" s="1"/>
  <c r="T242" i="2"/>
  <c r="F130" i="2"/>
  <c r="Q47" i="2"/>
  <c r="Q69" i="2"/>
  <c r="Q61" i="2"/>
  <c r="Q53" i="2"/>
  <c r="Q27" i="2"/>
  <c r="Q49" i="2"/>
  <c r="Q71" i="2"/>
  <c r="Q63" i="2"/>
  <c r="Q55" i="2"/>
  <c r="Q65" i="2"/>
  <c r="Q57" i="2"/>
  <c r="Q7" i="2"/>
  <c r="Q67" i="2"/>
  <c r="Q59" i="2"/>
  <c r="Q51" i="2"/>
  <c r="E689" i="2"/>
  <c r="E687" i="2"/>
  <c r="E685" i="2"/>
  <c r="E683" i="2"/>
  <c r="E681" i="2"/>
  <c r="E679" i="2"/>
  <c r="E677" i="2"/>
  <c r="E686" i="2"/>
  <c r="E673" i="2"/>
  <c r="E674" i="2"/>
  <c r="E668" i="2"/>
  <c r="E666" i="2"/>
  <c r="E664" i="2"/>
  <c r="E662" i="2"/>
  <c r="E660" i="2"/>
  <c r="E658" i="2"/>
  <c r="E656" i="2"/>
  <c r="E654" i="2"/>
  <c r="E652" i="2"/>
  <c r="E680" i="2"/>
  <c r="E676" i="2"/>
  <c r="E672" i="2"/>
  <c r="E671" i="2"/>
  <c r="E657" i="2"/>
  <c r="E684" i="2"/>
  <c r="E670" i="2"/>
  <c r="E653" i="2"/>
  <c r="E649" i="2"/>
  <c r="E645" i="2"/>
  <c r="E643" i="2"/>
  <c r="E641" i="2"/>
  <c r="E639" i="2"/>
  <c r="E637" i="2"/>
  <c r="E635" i="2"/>
  <c r="E667" i="2"/>
  <c r="E651" i="2"/>
  <c r="E669" i="2"/>
  <c r="E688" i="2"/>
  <c r="E636" i="2"/>
  <c r="E642" i="2"/>
  <c r="E629" i="2"/>
  <c r="E622" i="2"/>
  <c r="E620" i="2"/>
  <c r="E618" i="2"/>
  <c r="E616" i="2"/>
  <c r="E650" i="2"/>
  <c r="E648" i="2"/>
  <c r="E647" i="2"/>
  <c r="E631" i="2"/>
  <c r="E655" i="2"/>
  <c r="E627" i="2"/>
  <c r="E617" i="2"/>
  <c r="E607" i="2"/>
  <c r="E682" i="2"/>
  <c r="E675" i="2"/>
  <c r="E633" i="2"/>
  <c r="E619" i="2"/>
  <c r="E611" i="2"/>
  <c r="E610" i="2"/>
  <c r="E599" i="2"/>
  <c r="E588" i="2"/>
  <c r="E583" i="2"/>
  <c r="E572" i="2"/>
  <c r="E567" i="2"/>
  <c r="E565" i="2"/>
  <c r="E563" i="2"/>
  <c r="E663" i="2"/>
  <c r="E644" i="2"/>
  <c r="E614" i="2"/>
  <c r="E603" i="2"/>
  <c r="E665" i="2"/>
  <c r="E659" i="2"/>
  <c r="E624" i="2"/>
  <c r="E612" i="2"/>
  <c r="E605" i="2"/>
  <c r="E598" i="2"/>
  <c r="E587" i="2"/>
  <c r="E576" i="2"/>
  <c r="E575" i="2"/>
  <c r="E568" i="2"/>
  <c r="E560" i="2"/>
  <c r="E558" i="2"/>
  <c r="E556" i="2"/>
  <c r="E554" i="2"/>
  <c r="E552" i="2"/>
  <c r="E550" i="2"/>
  <c r="E548" i="2"/>
  <c r="E626" i="2"/>
  <c r="E661" i="2"/>
  <c r="E628" i="2"/>
  <c r="E609" i="2"/>
  <c r="E592" i="2"/>
  <c r="E591" i="2"/>
  <c r="E580" i="2"/>
  <c r="E579" i="2"/>
  <c r="E566" i="2"/>
  <c r="E615" i="2"/>
  <c r="E613" i="2"/>
  <c r="E586" i="2"/>
  <c r="E570" i="2"/>
  <c r="E546" i="2"/>
  <c r="E544" i="2"/>
  <c r="E540" i="2"/>
  <c r="E538" i="2"/>
  <c r="E536" i="2"/>
  <c r="E534" i="2"/>
  <c r="E532" i="2"/>
  <c r="E530" i="2"/>
  <c r="E638" i="2"/>
  <c r="E634" i="2"/>
  <c r="E601" i="2"/>
  <c r="E595" i="2"/>
  <c r="E646" i="2"/>
  <c r="E608" i="2"/>
  <c r="E606" i="2"/>
  <c r="E594" i="2"/>
  <c r="E585" i="2"/>
  <c r="E578" i="2"/>
  <c r="E571" i="2"/>
  <c r="E547" i="2"/>
  <c r="E545" i="2"/>
  <c r="E543" i="2"/>
  <c r="E541" i="2"/>
  <c r="E539" i="2"/>
  <c r="E537" i="2"/>
  <c r="E535" i="2"/>
  <c r="E533" i="2"/>
  <c r="E531" i="2"/>
  <c r="E640" i="2"/>
  <c r="E584" i="2"/>
  <c r="E582" i="2"/>
  <c r="E559" i="2"/>
  <c r="E590" i="2"/>
  <c r="E549" i="2"/>
  <c r="E529" i="2"/>
  <c r="E527" i="2"/>
  <c r="E525" i="2"/>
  <c r="E523" i="2"/>
  <c r="E521" i="2"/>
  <c r="E519" i="2"/>
  <c r="E517" i="2"/>
  <c r="E630" i="2"/>
  <c r="E562" i="2"/>
  <c r="E555" i="2"/>
  <c r="E528" i="2"/>
  <c r="E516" i="2"/>
  <c r="E632" i="2"/>
  <c r="E511" i="2"/>
  <c r="E597" i="2"/>
  <c r="E573" i="2"/>
  <c r="E557" i="2"/>
  <c r="E551" i="2"/>
  <c r="E520" i="2"/>
  <c r="E512" i="2"/>
  <c r="E596" i="2"/>
  <c r="E574" i="2"/>
  <c r="E515" i="2"/>
  <c r="E623" i="2"/>
  <c r="E600" i="2"/>
  <c r="E514" i="2"/>
  <c r="E506" i="2"/>
  <c r="E504" i="2"/>
  <c r="E502" i="2"/>
  <c r="E500" i="2"/>
  <c r="E498" i="2"/>
  <c r="E496" i="2"/>
  <c r="E494" i="2"/>
  <c r="E513" i="2"/>
  <c r="E508" i="2"/>
  <c r="E621" i="2"/>
  <c r="E604" i="2"/>
  <c r="E564" i="2"/>
  <c r="E553" i="2"/>
  <c r="E593" i="2"/>
  <c r="E577" i="2"/>
  <c r="E505" i="2"/>
  <c r="E503" i="2"/>
  <c r="E501" i="2"/>
  <c r="E497" i="2"/>
  <c r="E495" i="2"/>
  <c r="E524" i="2"/>
  <c r="E510" i="2"/>
  <c r="E509" i="2"/>
  <c r="E492" i="2"/>
  <c r="E476" i="2"/>
  <c r="E468" i="2"/>
  <c r="E460" i="2"/>
  <c r="E452" i="2"/>
  <c r="E444" i="2"/>
  <c r="E436" i="2"/>
  <c r="E428" i="2"/>
  <c r="E493" i="2"/>
  <c r="E485" i="2"/>
  <c r="E477" i="2"/>
  <c r="E469" i="2"/>
  <c r="E461" i="2"/>
  <c r="E453" i="2"/>
  <c r="E486" i="2"/>
  <c r="E478" i="2"/>
  <c r="E470" i="2"/>
  <c r="E462" i="2"/>
  <c r="E454" i="2"/>
  <c r="E487" i="2"/>
  <c r="E479" i="2"/>
  <c r="E471" i="2"/>
  <c r="E463" i="2"/>
  <c r="E455" i="2"/>
  <c r="E447" i="2"/>
  <c r="E439" i="2"/>
  <c r="E431" i="2"/>
  <c r="E518" i="2"/>
  <c r="E488" i="2"/>
  <c r="E480" i="2"/>
  <c r="E472" i="2"/>
  <c r="E464" i="2"/>
  <c r="E448" i="2"/>
  <c r="E440" i="2"/>
  <c r="E432" i="2"/>
  <c r="E489" i="2"/>
  <c r="E481" i="2"/>
  <c r="E473" i="2"/>
  <c r="E465" i="2"/>
  <c r="E457" i="2"/>
  <c r="E490" i="2"/>
  <c r="E482" i="2"/>
  <c r="E474" i="2"/>
  <c r="E466" i="2"/>
  <c r="E458" i="2"/>
  <c r="E450" i="2"/>
  <c r="E491" i="2"/>
  <c r="E483" i="2"/>
  <c r="E475" i="2"/>
  <c r="E467" i="2"/>
  <c r="E459" i="2"/>
  <c r="E451" i="2"/>
  <c r="E443" i="2"/>
  <c r="E435" i="2"/>
  <c r="E427" i="2"/>
  <c r="E434" i="2"/>
  <c r="E425" i="2"/>
  <c r="E421" i="2"/>
  <c r="E417" i="2"/>
  <c r="E411" i="2"/>
  <c r="E403" i="2"/>
  <c r="E395" i="2"/>
  <c r="E387" i="2"/>
  <c r="E379" i="2"/>
  <c r="E371" i="2"/>
  <c r="E368" i="2"/>
  <c r="E366" i="2"/>
  <c r="E364" i="2"/>
  <c r="E362" i="2"/>
  <c r="E360" i="2"/>
  <c r="E358" i="2"/>
  <c r="E356" i="2"/>
  <c r="E354" i="2"/>
  <c r="E352" i="2"/>
  <c r="E350" i="2"/>
  <c r="E420" i="2"/>
  <c r="E416" i="2"/>
  <c r="E412" i="2"/>
  <c r="E405" i="2"/>
  <c r="E397" i="2"/>
  <c r="E389" i="2"/>
  <c r="E381" i="2"/>
  <c r="E373" i="2"/>
  <c r="E441" i="2"/>
  <c r="E402" i="2"/>
  <c r="E392" i="2"/>
  <c r="E382" i="2"/>
  <c r="E370" i="2"/>
  <c r="E415" i="2"/>
  <c r="E414" i="2"/>
  <c r="E404" i="2"/>
  <c r="E399" i="2"/>
  <c r="E377" i="2"/>
  <c r="E361" i="2"/>
  <c r="E353" i="2"/>
  <c r="E445" i="2"/>
  <c r="E406" i="2"/>
  <c r="E394" i="2"/>
  <c r="E384" i="2"/>
  <c r="E374" i="2"/>
  <c r="E442" i="2"/>
  <c r="E419" i="2"/>
  <c r="E418" i="2"/>
  <c r="E401" i="2"/>
  <c r="E396" i="2"/>
  <c r="E391" i="2"/>
  <c r="E369" i="2"/>
  <c r="E363" i="2"/>
  <c r="E355" i="2"/>
  <c r="E347" i="2"/>
  <c r="E345" i="2"/>
  <c r="E343" i="2"/>
  <c r="E341" i="2"/>
  <c r="E339" i="2"/>
  <c r="E337" i="2"/>
  <c r="E335" i="2"/>
  <c r="E333" i="2"/>
  <c r="E331" i="2"/>
  <c r="E329" i="2"/>
  <c r="E327" i="2"/>
  <c r="E325" i="2"/>
  <c r="E323" i="2"/>
  <c r="E321" i="2"/>
  <c r="E319" i="2"/>
  <c r="E317" i="2"/>
  <c r="E313" i="2"/>
  <c r="E311" i="2"/>
  <c r="E309" i="2"/>
  <c r="E307" i="2"/>
  <c r="E305" i="2"/>
  <c r="E303" i="2"/>
  <c r="E301" i="2"/>
  <c r="E299" i="2"/>
  <c r="E297" i="2"/>
  <c r="E449" i="2"/>
  <c r="E429" i="2"/>
  <c r="E408" i="2"/>
  <c r="E398" i="2"/>
  <c r="E386" i="2"/>
  <c r="E376" i="2"/>
  <c r="E446" i="2"/>
  <c r="E423" i="2"/>
  <c r="E422" i="2"/>
  <c r="E393" i="2"/>
  <c r="E388" i="2"/>
  <c r="E383" i="2"/>
  <c r="E365" i="2"/>
  <c r="E357" i="2"/>
  <c r="E349" i="2"/>
  <c r="E433" i="2"/>
  <c r="E410" i="2"/>
  <c r="E400" i="2"/>
  <c r="E390" i="2"/>
  <c r="E378" i="2"/>
  <c r="E437" i="2"/>
  <c r="E430" i="2"/>
  <c r="E426" i="2"/>
  <c r="E407" i="2"/>
  <c r="E380" i="2"/>
  <c r="E375" i="2"/>
  <c r="E367" i="2"/>
  <c r="E359" i="2"/>
  <c r="E351" i="2"/>
  <c r="E348" i="2"/>
  <c r="E346" i="2"/>
  <c r="E344" i="2"/>
  <c r="E342" i="2"/>
  <c r="E340" i="2"/>
  <c r="E338" i="2"/>
  <c r="E336" i="2"/>
  <c r="E334" i="2"/>
  <c r="E332" i="2"/>
  <c r="E328" i="2"/>
  <c r="E326" i="2"/>
  <c r="E324" i="2"/>
  <c r="E322" i="2"/>
  <c r="E320" i="2"/>
  <c r="E318" i="2"/>
  <c r="E316" i="2"/>
  <c r="E314" i="2"/>
  <c r="E312" i="2"/>
  <c r="E308" i="2"/>
  <c r="E306" i="2"/>
  <c r="E304" i="2"/>
  <c r="E300" i="2"/>
  <c r="E298" i="2"/>
  <c r="E296" i="2"/>
  <c r="E294" i="2"/>
  <c r="E292" i="2"/>
  <c r="E290" i="2"/>
  <c r="E288" i="2"/>
  <c r="E286" i="2"/>
  <c r="E282" i="2"/>
  <c r="E280" i="2"/>
  <c r="E278" i="2"/>
  <c r="E276" i="2"/>
  <c r="E274" i="2"/>
  <c r="E272" i="2"/>
  <c r="E270" i="2"/>
  <c r="E268" i="2"/>
  <c r="E266" i="2"/>
  <c r="E264" i="2"/>
  <c r="E262" i="2"/>
  <c r="E260" i="2"/>
  <c r="E258" i="2"/>
  <c r="E256" i="2"/>
  <c r="E254" i="2"/>
  <c r="E252" i="2"/>
  <c r="E250" i="2"/>
  <c r="E248" i="2"/>
  <c r="E246" i="2"/>
  <c r="E244" i="2"/>
  <c r="E240" i="2"/>
  <c r="E238" i="2"/>
  <c r="E236" i="2"/>
  <c r="E234" i="2"/>
  <c r="E232" i="2"/>
  <c r="E230" i="2"/>
  <c r="E228" i="2"/>
  <c r="E226" i="2"/>
  <c r="E224" i="2"/>
  <c r="E222" i="2"/>
  <c r="E220" i="2"/>
  <c r="E218" i="2"/>
  <c r="E216" i="2"/>
  <c r="E214" i="2"/>
  <c r="E295" i="2"/>
  <c r="E293" i="2"/>
  <c r="E291" i="2"/>
  <c r="E289" i="2"/>
  <c r="E287" i="2"/>
  <c r="E285" i="2"/>
  <c r="E283" i="2"/>
  <c r="E281" i="2"/>
  <c r="E279" i="2"/>
  <c r="E277" i="2"/>
  <c r="E275" i="2"/>
  <c r="E273" i="2"/>
  <c r="E271" i="2"/>
  <c r="E269" i="2"/>
  <c r="E267" i="2"/>
  <c r="E265" i="2"/>
  <c r="E263" i="2"/>
  <c r="E261" i="2"/>
  <c r="E259" i="2"/>
  <c r="E257" i="2"/>
  <c r="E255" i="2"/>
  <c r="E253" i="2"/>
  <c r="E249" i="2"/>
  <c r="E247" i="2"/>
  <c r="E245" i="2"/>
  <c r="E243" i="2"/>
  <c r="E241" i="2"/>
  <c r="E239" i="2"/>
  <c r="E237" i="2"/>
  <c r="E235" i="2"/>
  <c r="E233" i="2"/>
  <c r="E231" i="2"/>
  <c r="E229" i="2"/>
  <c r="E227" i="2"/>
  <c r="E225" i="2"/>
  <c r="E223" i="2"/>
  <c r="E221" i="2"/>
  <c r="E219" i="2"/>
  <c r="E217" i="2"/>
  <c r="E215" i="2"/>
  <c r="E107" i="2"/>
  <c r="E32" i="2"/>
  <c r="E30" i="2"/>
  <c r="E28" i="2"/>
  <c r="E26" i="2"/>
  <c r="E103" i="2"/>
  <c r="E95" i="2"/>
  <c r="E106" i="2"/>
  <c r="E31" i="2"/>
  <c r="E29" i="2"/>
  <c r="E27" i="2"/>
  <c r="E104" i="2"/>
  <c r="E102" i="2"/>
  <c r="V176" i="2"/>
  <c r="V64" i="2"/>
  <c r="H25" i="2"/>
  <c r="H18" i="2"/>
  <c r="H16" i="2"/>
  <c r="H74" i="2"/>
  <c r="H34" i="2"/>
  <c r="H73" i="2"/>
  <c r="H21" i="2"/>
  <c r="H22" i="2"/>
  <c r="H19" i="2"/>
  <c r="H17" i="2"/>
  <c r="H15" i="2"/>
  <c r="H13" i="2"/>
  <c r="H14" i="2" s="1"/>
  <c r="H5" i="2"/>
  <c r="H3" i="2"/>
  <c r="H75" i="2"/>
  <c r="H37" i="2"/>
  <c r="P25" i="2"/>
  <c r="P18" i="2"/>
  <c r="P74" i="2"/>
  <c r="P34" i="2"/>
  <c r="P73" i="2"/>
  <c r="P21" i="2"/>
  <c r="P22" i="2"/>
  <c r="P20" i="2"/>
  <c r="P19" i="2"/>
  <c r="P17" i="2"/>
  <c r="P15" i="2"/>
  <c r="P13" i="2"/>
  <c r="P14" i="2" s="1"/>
  <c r="P5" i="2"/>
  <c r="P3" i="2"/>
  <c r="P75" i="2"/>
  <c r="M65" i="2"/>
  <c r="M57" i="2"/>
  <c r="M7" i="2"/>
  <c r="M67" i="2"/>
  <c r="M59" i="2"/>
  <c r="M51" i="2"/>
  <c r="M47" i="2"/>
  <c r="M69" i="2"/>
  <c r="M61" i="2"/>
  <c r="M53" i="2"/>
  <c r="M27" i="2"/>
  <c r="M16" i="2"/>
  <c r="M49" i="2"/>
  <c r="M71" i="2"/>
  <c r="M63" i="2"/>
  <c r="M55" i="2"/>
  <c r="U65" i="2"/>
  <c r="U57" i="2"/>
  <c r="U7" i="2"/>
  <c r="U67" i="2"/>
  <c r="U59" i="2"/>
  <c r="U51" i="2"/>
  <c r="U47" i="2"/>
  <c r="U69" i="2"/>
  <c r="U61" i="2"/>
  <c r="U53" i="2"/>
  <c r="U27" i="2"/>
  <c r="U16" i="2"/>
  <c r="U49" i="2"/>
  <c r="U71" i="2"/>
  <c r="U63" i="2"/>
  <c r="U55" i="2"/>
  <c r="I35" i="1"/>
  <c r="I76" i="2" s="1"/>
  <c r="M84" i="2"/>
  <c r="M81" i="2"/>
  <c r="M79" i="2"/>
  <c r="M77" i="2"/>
  <c r="M4" i="2"/>
  <c r="M82" i="2"/>
  <c r="M80" i="2"/>
  <c r="M78" i="2"/>
  <c r="U81" i="2"/>
  <c r="U79" i="2"/>
  <c r="U77" i="2"/>
  <c r="U4" i="2"/>
  <c r="U83" i="2"/>
  <c r="U82" i="2"/>
  <c r="U80" i="2"/>
  <c r="U78" i="2"/>
  <c r="I688" i="2"/>
  <c r="I686" i="2"/>
  <c r="I684" i="2"/>
  <c r="I682" i="2"/>
  <c r="I680" i="2"/>
  <c r="I676" i="2"/>
  <c r="I689" i="2"/>
  <c r="I672" i="2"/>
  <c r="I667" i="2"/>
  <c r="I665" i="2"/>
  <c r="I663" i="2"/>
  <c r="I661" i="2"/>
  <c r="I659" i="2"/>
  <c r="I657" i="2"/>
  <c r="I655" i="2"/>
  <c r="I653" i="2"/>
  <c r="I651" i="2"/>
  <c r="I679" i="2"/>
  <c r="I675" i="2"/>
  <c r="I660" i="2"/>
  <c r="I648" i="2"/>
  <c r="I677" i="2"/>
  <c r="I656" i="2"/>
  <c r="I647" i="2"/>
  <c r="I644" i="2"/>
  <c r="I642" i="2"/>
  <c r="I640" i="2"/>
  <c r="I638" i="2"/>
  <c r="I636" i="2"/>
  <c r="I634" i="2"/>
  <c r="I687" i="2"/>
  <c r="I654" i="2"/>
  <c r="I646" i="2"/>
  <c r="I683" i="2"/>
  <c r="I681" i="2"/>
  <c r="I673" i="2"/>
  <c r="I637" i="2"/>
  <c r="I650" i="2"/>
  <c r="I643" i="2"/>
  <c r="I632" i="2"/>
  <c r="I624" i="2"/>
  <c r="I621" i="2"/>
  <c r="I619" i="2"/>
  <c r="I617" i="2"/>
  <c r="I615" i="2"/>
  <c r="I669" i="2"/>
  <c r="I666" i="2"/>
  <c r="I662" i="2"/>
  <c r="I645" i="2"/>
  <c r="I626" i="2"/>
  <c r="I623" i="2"/>
  <c r="I670" i="2"/>
  <c r="I664" i="2"/>
  <c r="I620" i="2"/>
  <c r="I610" i="2"/>
  <c r="I605" i="2"/>
  <c r="I641" i="2"/>
  <c r="I604" i="2"/>
  <c r="I603" i="2"/>
  <c r="I591" i="2"/>
  <c r="I586" i="2"/>
  <c r="I575" i="2"/>
  <c r="I570" i="2"/>
  <c r="I568" i="2"/>
  <c r="I566" i="2"/>
  <c r="I564" i="2"/>
  <c r="I562" i="2"/>
  <c r="I618" i="2"/>
  <c r="I608" i="2"/>
  <c r="I607" i="2"/>
  <c r="I600" i="2"/>
  <c r="I652" i="2"/>
  <c r="I639" i="2"/>
  <c r="I627" i="2"/>
  <c r="I622" i="2"/>
  <c r="I609" i="2"/>
  <c r="I599" i="2"/>
  <c r="I580" i="2"/>
  <c r="I559" i="2"/>
  <c r="I557" i="2"/>
  <c r="I555" i="2"/>
  <c r="I553" i="2"/>
  <c r="I551" i="2"/>
  <c r="I549" i="2"/>
  <c r="I685" i="2"/>
  <c r="I668" i="2"/>
  <c r="I658" i="2"/>
  <c r="I649" i="2"/>
  <c r="I628" i="2"/>
  <c r="I671" i="2"/>
  <c r="I631" i="2"/>
  <c r="I616" i="2"/>
  <c r="I613" i="2"/>
  <c r="I606" i="2"/>
  <c r="I596" i="2"/>
  <c r="I585" i="2"/>
  <c r="I584" i="2"/>
  <c r="I573" i="2"/>
  <c r="I572" i="2"/>
  <c r="I611" i="2"/>
  <c r="I590" i="2"/>
  <c r="I583" i="2"/>
  <c r="I547" i="2"/>
  <c r="I545" i="2"/>
  <c r="I543" i="2"/>
  <c r="I541" i="2"/>
  <c r="I539" i="2"/>
  <c r="I537" i="2"/>
  <c r="I535" i="2"/>
  <c r="I533" i="2"/>
  <c r="I531" i="2"/>
  <c r="I674" i="2"/>
  <c r="I592" i="2"/>
  <c r="I635" i="2"/>
  <c r="I633" i="2"/>
  <c r="I582" i="2"/>
  <c r="I546" i="2"/>
  <c r="I544" i="2"/>
  <c r="I540" i="2"/>
  <c r="I538" i="2"/>
  <c r="I536" i="2"/>
  <c r="I534" i="2"/>
  <c r="I532" i="2"/>
  <c r="I530" i="2"/>
  <c r="I629" i="2"/>
  <c r="I565" i="2"/>
  <c r="I556" i="2"/>
  <c r="I612" i="2"/>
  <c r="I579" i="2"/>
  <c r="I558" i="2"/>
  <c r="I528" i="2"/>
  <c r="I524" i="2"/>
  <c r="I520" i="2"/>
  <c r="I518" i="2"/>
  <c r="I593" i="2"/>
  <c r="I578" i="2"/>
  <c r="I577" i="2"/>
  <c r="I630" i="2"/>
  <c r="I594" i="2"/>
  <c r="I576" i="2"/>
  <c r="I563" i="2"/>
  <c r="I560" i="2"/>
  <c r="I550" i="2"/>
  <c r="I598" i="2"/>
  <c r="I548" i="2"/>
  <c r="I597" i="2"/>
  <c r="I571" i="2"/>
  <c r="I525" i="2"/>
  <c r="I514" i="2"/>
  <c r="I588" i="2"/>
  <c r="I552" i="2"/>
  <c r="I523" i="2"/>
  <c r="I515" i="2"/>
  <c r="I517" i="2"/>
  <c r="I510" i="2"/>
  <c r="I614" i="2"/>
  <c r="I595" i="2"/>
  <c r="I513" i="2"/>
  <c r="I505" i="2"/>
  <c r="I503" i="2"/>
  <c r="I501" i="2"/>
  <c r="I497" i="2"/>
  <c r="I495" i="2"/>
  <c r="I527" i="2"/>
  <c r="I512" i="2"/>
  <c r="I574" i="2"/>
  <c r="I567" i="2"/>
  <c r="I519" i="2"/>
  <c r="I529" i="2"/>
  <c r="I506" i="2"/>
  <c r="I504" i="2"/>
  <c r="I502" i="2"/>
  <c r="I500" i="2"/>
  <c r="I498" i="2"/>
  <c r="I496" i="2"/>
  <c r="I494" i="2"/>
  <c r="I509" i="2"/>
  <c r="I521" i="2"/>
  <c r="I516" i="2"/>
  <c r="I508" i="2"/>
  <c r="I601" i="2"/>
  <c r="I587" i="2"/>
  <c r="I554" i="2"/>
  <c r="I487" i="2"/>
  <c r="I479" i="2"/>
  <c r="I471" i="2"/>
  <c r="I463" i="2"/>
  <c r="I455" i="2"/>
  <c r="I447" i="2"/>
  <c r="I439" i="2"/>
  <c r="I431" i="2"/>
  <c r="I488" i="2"/>
  <c r="I480" i="2"/>
  <c r="I472" i="2"/>
  <c r="I464" i="2"/>
  <c r="I448" i="2"/>
  <c r="I489" i="2"/>
  <c r="I481" i="2"/>
  <c r="I473" i="2"/>
  <c r="I465" i="2"/>
  <c r="I457" i="2"/>
  <c r="I511" i="2"/>
  <c r="I490" i="2"/>
  <c r="I482" i="2"/>
  <c r="I474" i="2"/>
  <c r="I466" i="2"/>
  <c r="I458" i="2"/>
  <c r="I450" i="2"/>
  <c r="I442" i="2"/>
  <c r="I434" i="2"/>
  <c r="I491" i="2"/>
  <c r="I483" i="2"/>
  <c r="I475" i="2"/>
  <c r="I467" i="2"/>
  <c r="I459" i="2"/>
  <c r="I451" i="2"/>
  <c r="I443" i="2"/>
  <c r="I435" i="2"/>
  <c r="I427" i="2"/>
  <c r="I492" i="2"/>
  <c r="I476" i="2"/>
  <c r="I468" i="2"/>
  <c r="I460" i="2"/>
  <c r="I452" i="2"/>
  <c r="I493" i="2"/>
  <c r="I485" i="2"/>
  <c r="I477" i="2"/>
  <c r="I469" i="2"/>
  <c r="I461" i="2"/>
  <c r="I453" i="2"/>
  <c r="I486" i="2"/>
  <c r="I478" i="2"/>
  <c r="I470" i="2"/>
  <c r="I462" i="2"/>
  <c r="I454" i="2"/>
  <c r="I446" i="2"/>
  <c r="I430" i="2"/>
  <c r="I437" i="2"/>
  <c r="I420" i="2"/>
  <c r="I416" i="2"/>
  <c r="I412" i="2"/>
  <c r="I406" i="2"/>
  <c r="I398" i="2"/>
  <c r="I390" i="2"/>
  <c r="I382" i="2"/>
  <c r="I374" i="2"/>
  <c r="I367" i="2"/>
  <c r="I365" i="2"/>
  <c r="I363" i="2"/>
  <c r="I361" i="2"/>
  <c r="I359" i="2"/>
  <c r="I357" i="2"/>
  <c r="I355" i="2"/>
  <c r="I353" i="2"/>
  <c r="I351" i="2"/>
  <c r="I349" i="2"/>
  <c r="I449" i="2"/>
  <c r="I441" i="2"/>
  <c r="I423" i="2"/>
  <c r="I419" i="2"/>
  <c r="I415" i="2"/>
  <c r="I408" i="2"/>
  <c r="I400" i="2"/>
  <c r="I392" i="2"/>
  <c r="I384" i="2"/>
  <c r="I376" i="2"/>
  <c r="I428" i="2"/>
  <c r="I411" i="2"/>
  <c r="I401" i="2"/>
  <c r="I389" i="2"/>
  <c r="I379" i="2"/>
  <c r="I369" i="2"/>
  <c r="I445" i="2"/>
  <c r="I418" i="2"/>
  <c r="I417" i="2"/>
  <c r="I396" i="2"/>
  <c r="I391" i="2"/>
  <c r="I386" i="2"/>
  <c r="I364" i="2"/>
  <c r="I356" i="2"/>
  <c r="I432" i="2"/>
  <c r="I403" i="2"/>
  <c r="I393" i="2"/>
  <c r="I381" i="2"/>
  <c r="I371" i="2"/>
  <c r="I429" i="2"/>
  <c r="I422" i="2"/>
  <c r="I421" i="2"/>
  <c r="I410" i="2"/>
  <c r="I388" i="2"/>
  <c r="I383" i="2"/>
  <c r="I378" i="2"/>
  <c r="I366" i="2"/>
  <c r="I358" i="2"/>
  <c r="I350" i="2"/>
  <c r="I348" i="2"/>
  <c r="I346" i="2"/>
  <c r="I344" i="2"/>
  <c r="I342" i="2"/>
  <c r="I340" i="2"/>
  <c r="I338" i="2"/>
  <c r="I336" i="2"/>
  <c r="I334" i="2"/>
  <c r="I332" i="2"/>
  <c r="I328" i="2"/>
  <c r="I326" i="2"/>
  <c r="I324" i="2"/>
  <c r="I322" i="2"/>
  <c r="I320" i="2"/>
  <c r="I318" i="2"/>
  <c r="I316" i="2"/>
  <c r="I314" i="2"/>
  <c r="I312" i="2"/>
  <c r="I308" i="2"/>
  <c r="I306" i="2"/>
  <c r="I304" i="2"/>
  <c r="I300" i="2"/>
  <c r="I298" i="2"/>
  <c r="I436" i="2"/>
  <c r="I405" i="2"/>
  <c r="I395" i="2"/>
  <c r="I373" i="2"/>
  <c r="I440" i="2"/>
  <c r="I433" i="2"/>
  <c r="I426" i="2"/>
  <c r="I425" i="2"/>
  <c r="I407" i="2"/>
  <c r="I402" i="2"/>
  <c r="I380" i="2"/>
  <c r="I375" i="2"/>
  <c r="I370" i="2"/>
  <c r="I368" i="2"/>
  <c r="I360" i="2"/>
  <c r="I352" i="2"/>
  <c r="I444" i="2"/>
  <c r="I397" i="2"/>
  <c r="I387" i="2"/>
  <c r="I377" i="2"/>
  <c r="I414" i="2"/>
  <c r="I404" i="2"/>
  <c r="I399" i="2"/>
  <c r="I394" i="2"/>
  <c r="I362" i="2"/>
  <c r="I354" i="2"/>
  <c r="I347" i="2"/>
  <c r="I345" i="2"/>
  <c r="I343" i="2"/>
  <c r="I341" i="2"/>
  <c r="I339" i="2"/>
  <c r="I337" i="2"/>
  <c r="I335" i="2"/>
  <c r="I333" i="2"/>
  <c r="I331" i="2"/>
  <c r="I329" i="2"/>
  <c r="I327" i="2"/>
  <c r="I325" i="2"/>
  <c r="I323" i="2"/>
  <c r="I321" i="2"/>
  <c r="I319" i="2"/>
  <c r="I317" i="2"/>
  <c r="I313" i="2"/>
  <c r="I311" i="2"/>
  <c r="I309" i="2"/>
  <c r="I307" i="2"/>
  <c r="I305" i="2"/>
  <c r="I303" i="2"/>
  <c r="I301" i="2"/>
  <c r="I299" i="2"/>
  <c r="I295" i="2"/>
  <c r="I293" i="2"/>
  <c r="I291" i="2"/>
  <c r="I289" i="2"/>
  <c r="I287" i="2"/>
  <c r="I285" i="2"/>
  <c r="I283" i="2"/>
  <c r="I281" i="2"/>
  <c r="I279" i="2"/>
  <c r="I277" i="2"/>
  <c r="I275" i="2"/>
  <c r="I273" i="2"/>
  <c r="I271" i="2"/>
  <c r="I269" i="2"/>
  <c r="I267" i="2"/>
  <c r="I265" i="2"/>
  <c r="I263" i="2"/>
  <c r="I261" i="2"/>
  <c r="I259" i="2"/>
  <c r="I257" i="2"/>
  <c r="I255" i="2"/>
  <c r="I253" i="2"/>
  <c r="I249" i="2"/>
  <c r="I247" i="2"/>
  <c r="I245" i="2"/>
  <c r="I243" i="2"/>
  <c r="I241" i="2"/>
  <c r="I239" i="2"/>
  <c r="I237" i="2"/>
  <c r="I235" i="2"/>
  <c r="I233" i="2"/>
  <c r="I231" i="2"/>
  <c r="I229" i="2"/>
  <c r="I227" i="2"/>
  <c r="I225" i="2"/>
  <c r="I223" i="2"/>
  <c r="I221" i="2"/>
  <c r="I219" i="2"/>
  <c r="I217" i="2"/>
  <c r="I215" i="2"/>
  <c r="I297" i="2"/>
  <c r="I296" i="2"/>
  <c r="I294" i="2"/>
  <c r="I292" i="2"/>
  <c r="I290" i="2"/>
  <c r="I288" i="2"/>
  <c r="I286" i="2"/>
  <c r="I282" i="2"/>
  <c r="I280" i="2"/>
  <c r="I278" i="2"/>
  <c r="I276" i="2"/>
  <c r="I274" i="2"/>
  <c r="I272" i="2"/>
  <c r="I270" i="2"/>
  <c r="I268" i="2"/>
  <c r="I266" i="2"/>
  <c r="I264" i="2"/>
  <c r="I262" i="2"/>
  <c r="I260" i="2"/>
  <c r="I258" i="2"/>
  <c r="I256" i="2"/>
  <c r="I254" i="2"/>
  <c r="I252" i="2"/>
  <c r="I250" i="2"/>
  <c r="I248" i="2"/>
  <c r="I246" i="2"/>
  <c r="I244" i="2"/>
  <c r="I240" i="2"/>
  <c r="I238" i="2"/>
  <c r="I236" i="2"/>
  <c r="I234" i="2"/>
  <c r="I232" i="2"/>
  <c r="I230" i="2"/>
  <c r="I228" i="2"/>
  <c r="I226" i="2"/>
  <c r="I224" i="2"/>
  <c r="I222" i="2"/>
  <c r="I220" i="2"/>
  <c r="I218" i="2"/>
  <c r="I216" i="2"/>
  <c r="I214" i="2"/>
  <c r="I106" i="2"/>
  <c r="I31" i="2"/>
  <c r="I29" i="2"/>
  <c r="I27" i="2"/>
  <c r="I104" i="2"/>
  <c r="I102" i="2"/>
  <c r="I107" i="2"/>
  <c r="I32" i="2"/>
  <c r="I30" i="2"/>
  <c r="I28" i="2"/>
  <c r="I26" i="2"/>
  <c r="I103" i="2"/>
  <c r="I95" i="2"/>
  <c r="Q688" i="2"/>
  <c r="Q686" i="2"/>
  <c r="Q684" i="2"/>
  <c r="Q682" i="2"/>
  <c r="Q680" i="2"/>
  <c r="Q676" i="2"/>
  <c r="Q683" i="2"/>
  <c r="Q667" i="2"/>
  <c r="Q665" i="2"/>
  <c r="Q663" i="2"/>
  <c r="Q661" i="2"/>
  <c r="Q659" i="2"/>
  <c r="Q657" i="2"/>
  <c r="Q655" i="2"/>
  <c r="Q653" i="2"/>
  <c r="Q651" i="2"/>
  <c r="Q685" i="2"/>
  <c r="Q681" i="2"/>
  <c r="Q677" i="2"/>
  <c r="Q687" i="2"/>
  <c r="Q668" i="2"/>
  <c r="Q666" i="2"/>
  <c r="Q650" i="2"/>
  <c r="Q649" i="2"/>
  <c r="Q662" i="2"/>
  <c r="Q644" i="2"/>
  <c r="Q642" i="2"/>
  <c r="Q640" i="2"/>
  <c r="Q638" i="2"/>
  <c r="Q636" i="2"/>
  <c r="Q634" i="2"/>
  <c r="Q679" i="2"/>
  <c r="Q674" i="2"/>
  <c r="Q673" i="2"/>
  <c r="Q672" i="2"/>
  <c r="Q671" i="2"/>
  <c r="Q660" i="2"/>
  <c r="Q647" i="2"/>
  <c r="Q658" i="2"/>
  <c r="Q656" i="2"/>
  <c r="Q654" i="2"/>
  <c r="Q652" i="2"/>
  <c r="Q675" i="2"/>
  <c r="Q669" i="2"/>
  <c r="Q637" i="2"/>
  <c r="Q635" i="2"/>
  <c r="Q630" i="2"/>
  <c r="Q621" i="2"/>
  <c r="Q619" i="2"/>
  <c r="Q617" i="2"/>
  <c r="Q615" i="2"/>
  <c r="Q632" i="2"/>
  <c r="Q624" i="2"/>
  <c r="Q643" i="2"/>
  <c r="Q618" i="2"/>
  <c r="Q611" i="2"/>
  <c r="Q641" i="2"/>
  <c r="Q616" i="2"/>
  <c r="Q612" i="2"/>
  <c r="Q597" i="2"/>
  <c r="Q592" i="2"/>
  <c r="Q576" i="2"/>
  <c r="Q568" i="2"/>
  <c r="Q566" i="2"/>
  <c r="Q564" i="2"/>
  <c r="Q562" i="2"/>
  <c r="Q620" i="2"/>
  <c r="Q605" i="2"/>
  <c r="Q631" i="2"/>
  <c r="Q610" i="2"/>
  <c r="Q588" i="2"/>
  <c r="Q577" i="2"/>
  <c r="Q559" i="2"/>
  <c r="Q557" i="2"/>
  <c r="Q555" i="2"/>
  <c r="Q553" i="2"/>
  <c r="Q551" i="2"/>
  <c r="Q549" i="2"/>
  <c r="Q547" i="2"/>
  <c r="Q646" i="2"/>
  <c r="Q633" i="2"/>
  <c r="Q648" i="2"/>
  <c r="Q614" i="2"/>
  <c r="Q607" i="2"/>
  <c r="Q599" i="2"/>
  <c r="Q593" i="2"/>
  <c r="Q570" i="2"/>
  <c r="Q664" i="2"/>
  <c r="Q645" i="2"/>
  <c r="Q639" i="2"/>
  <c r="Q604" i="2"/>
  <c r="Q584" i="2"/>
  <c r="Q567" i="2"/>
  <c r="Q545" i="2"/>
  <c r="Q543" i="2"/>
  <c r="Q541" i="2"/>
  <c r="Q539" i="2"/>
  <c r="Q537" i="2"/>
  <c r="Q535" i="2"/>
  <c r="Q533" i="2"/>
  <c r="Q531" i="2"/>
  <c r="Q529" i="2"/>
  <c r="Q623" i="2"/>
  <c r="Q603" i="2"/>
  <c r="Q598" i="2"/>
  <c r="Q595" i="2"/>
  <c r="Q586" i="2"/>
  <c r="Q670" i="2"/>
  <c r="Q585" i="2"/>
  <c r="Q563" i="2"/>
  <c r="Q546" i="2"/>
  <c r="Q544" i="2"/>
  <c r="Q540" i="2"/>
  <c r="Q538" i="2"/>
  <c r="Q536" i="2"/>
  <c r="Q534" i="2"/>
  <c r="Q532" i="2"/>
  <c r="Q530" i="2"/>
  <c r="Q689" i="2"/>
  <c r="Q600" i="2"/>
  <c r="Q594" i="2"/>
  <c r="Q575" i="2"/>
  <c r="Q552" i="2"/>
  <c r="Q627" i="2"/>
  <c r="Q613" i="2"/>
  <c r="Q574" i="2"/>
  <c r="Q573" i="2"/>
  <c r="Q528" i="2"/>
  <c r="Q524" i="2"/>
  <c r="Q520" i="2"/>
  <c r="Q518" i="2"/>
  <c r="Q601" i="2"/>
  <c r="Q596" i="2"/>
  <c r="Q572" i="2"/>
  <c r="Q571" i="2"/>
  <c r="Q587" i="2"/>
  <c r="Q583" i="2"/>
  <c r="Q556" i="2"/>
  <c r="Q626" i="2"/>
  <c r="Q608" i="2"/>
  <c r="Q550" i="2"/>
  <c r="Q521" i="2"/>
  <c r="Q622" i="2"/>
  <c r="Q578" i="2"/>
  <c r="Q554" i="2"/>
  <c r="Q512" i="2"/>
  <c r="Q629" i="2"/>
  <c r="Q513" i="2"/>
  <c r="Q591" i="2"/>
  <c r="Q560" i="2"/>
  <c r="Q523" i="2"/>
  <c r="Q516" i="2"/>
  <c r="Q508" i="2"/>
  <c r="Q606" i="2"/>
  <c r="Q582" i="2"/>
  <c r="Q519" i="2"/>
  <c r="Q510" i="2"/>
  <c r="Q505" i="2"/>
  <c r="Q503" i="2"/>
  <c r="Q501" i="2"/>
  <c r="Q497" i="2"/>
  <c r="Q495" i="2"/>
  <c r="Q493" i="2"/>
  <c r="Q590" i="2"/>
  <c r="Q558" i="2"/>
  <c r="Q509" i="2"/>
  <c r="Q548" i="2"/>
  <c r="Q525" i="2"/>
  <c r="Q515" i="2"/>
  <c r="Q504" i="2"/>
  <c r="Q502" i="2"/>
  <c r="Q500" i="2"/>
  <c r="Q498" i="2"/>
  <c r="Q496" i="2"/>
  <c r="Q494" i="2"/>
  <c r="Q609" i="2"/>
  <c r="Q580" i="2"/>
  <c r="Q517" i="2"/>
  <c r="Q506" i="2"/>
  <c r="Q628" i="2"/>
  <c r="Q565" i="2"/>
  <c r="Q527" i="2"/>
  <c r="Q579" i="2"/>
  <c r="Q511" i="2"/>
  <c r="Q485" i="2"/>
  <c r="Q477" i="2"/>
  <c r="Q469" i="2"/>
  <c r="Q461" i="2"/>
  <c r="Q453" i="2"/>
  <c r="Q445" i="2"/>
  <c r="Q437" i="2"/>
  <c r="Q429" i="2"/>
  <c r="Q486" i="2"/>
  <c r="Q478" i="2"/>
  <c r="Q470" i="2"/>
  <c r="Q462" i="2"/>
  <c r="Q454" i="2"/>
  <c r="Q446" i="2"/>
  <c r="Q487" i="2"/>
  <c r="Q479" i="2"/>
  <c r="Q471" i="2"/>
  <c r="Q463" i="2"/>
  <c r="Q455" i="2"/>
  <c r="Q488" i="2"/>
  <c r="Q480" i="2"/>
  <c r="Q472" i="2"/>
  <c r="Q464" i="2"/>
  <c r="Q448" i="2"/>
  <c r="Q440" i="2"/>
  <c r="Q432" i="2"/>
  <c r="Q489" i="2"/>
  <c r="Q481" i="2"/>
  <c r="Q473" i="2"/>
  <c r="Q465" i="2"/>
  <c r="Q457" i="2"/>
  <c r="Q449" i="2"/>
  <c r="Q441" i="2"/>
  <c r="Q433" i="2"/>
  <c r="Q490" i="2"/>
  <c r="Q482" i="2"/>
  <c r="Q474" i="2"/>
  <c r="Q466" i="2"/>
  <c r="Q458" i="2"/>
  <c r="Q491" i="2"/>
  <c r="Q483" i="2"/>
  <c r="Q475" i="2"/>
  <c r="Q467" i="2"/>
  <c r="Q459" i="2"/>
  <c r="Q451" i="2"/>
  <c r="Q514" i="2"/>
  <c r="Q492" i="2"/>
  <c r="Q476" i="2"/>
  <c r="Q468" i="2"/>
  <c r="Q460" i="2"/>
  <c r="Q452" i="2"/>
  <c r="Q444" i="2"/>
  <c r="Q436" i="2"/>
  <c r="Q428" i="2"/>
  <c r="Q447" i="2"/>
  <c r="Q443" i="2"/>
  <c r="Q427" i="2"/>
  <c r="Q426" i="2"/>
  <c r="Q422" i="2"/>
  <c r="Q418" i="2"/>
  <c r="Q414" i="2"/>
  <c r="Q404" i="2"/>
  <c r="Q396" i="2"/>
  <c r="Q388" i="2"/>
  <c r="Q380" i="2"/>
  <c r="Q367" i="2"/>
  <c r="Q365" i="2"/>
  <c r="Q363" i="2"/>
  <c r="Q361" i="2"/>
  <c r="Q359" i="2"/>
  <c r="Q357" i="2"/>
  <c r="Q355" i="2"/>
  <c r="Q353" i="2"/>
  <c r="Q351" i="2"/>
  <c r="Q349" i="2"/>
  <c r="Q431" i="2"/>
  <c r="Q425" i="2"/>
  <c r="Q421" i="2"/>
  <c r="Q417" i="2"/>
  <c r="Q406" i="2"/>
  <c r="Q398" i="2"/>
  <c r="Q390" i="2"/>
  <c r="Q382" i="2"/>
  <c r="Q374" i="2"/>
  <c r="Q442" i="2"/>
  <c r="Q407" i="2"/>
  <c r="Q395" i="2"/>
  <c r="Q375" i="2"/>
  <c r="Q450" i="2"/>
  <c r="Q439" i="2"/>
  <c r="Q423" i="2"/>
  <c r="Q402" i="2"/>
  <c r="Q397" i="2"/>
  <c r="Q392" i="2"/>
  <c r="Q370" i="2"/>
  <c r="Q362" i="2"/>
  <c r="Q354" i="2"/>
  <c r="Q399" i="2"/>
  <c r="Q387" i="2"/>
  <c r="Q377" i="2"/>
  <c r="Q430" i="2"/>
  <c r="Q412" i="2"/>
  <c r="Q394" i="2"/>
  <c r="Q389" i="2"/>
  <c r="Q384" i="2"/>
  <c r="Q364" i="2"/>
  <c r="Q356" i="2"/>
  <c r="Q348" i="2"/>
  <c r="Q346" i="2"/>
  <c r="Q344" i="2"/>
  <c r="Q342" i="2"/>
  <c r="Q340" i="2"/>
  <c r="Q338" i="2"/>
  <c r="Q336" i="2"/>
  <c r="Q334" i="2"/>
  <c r="Q332" i="2"/>
  <c r="Q328" i="2"/>
  <c r="Q326" i="2"/>
  <c r="Q324" i="2"/>
  <c r="Q322" i="2"/>
  <c r="Q320" i="2"/>
  <c r="Q318" i="2"/>
  <c r="Q316" i="2"/>
  <c r="Q314" i="2"/>
  <c r="Q312" i="2"/>
  <c r="Q308" i="2"/>
  <c r="Q306" i="2"/>
  <c r="Q304" i="2"/>
  <c r="Q300" i="2"/>
  <c r="Q298" i="2"/>
  <c r="Q434" i="2"/>
  <c r="Q411" i="2"/>
  <c r="Q401" i="2"/>
  <c r="Q391" i="2"/>
  <c r="Q379" i="2"/>
  <c r="Q369" i="2"/>
  <c r="Q416" i="2"/>
  <c r="Q415" i="2"/>
  <c r="Q408" i="2"/>
  <c r="Q386" i="2"/>
  <c r="Q381" i="2"/>
  <c r="Q376" i="2"/>
  <c r="Q366" i="2"/>
  <c r="Q358" i="2"/>
  <c r="Q350" i="2"/>
  <c r="Q403" i="2"/>
  <c r="Q393" i="2"/>
  <c r="Q383" i="2"/>
  <c r="Q371" i="2"/>
  <c r="Q435" i="2"/>
  <c r="Q420" i="2"/>
  <c r="Q419" i="2"/>
  <c r="Q410" i="2"/>
  <c r="Q405" i="2"/>
  <c r="Q400" i="2"/>
  <c r="Q378" i="2"/>
  <c r="Q373" i="2"/>
  <c r="Q368" i="2"/>
  <c r="Q360" i="2"/>
  <c r="Q352" i="2"/>
  <c r="Q347" i="2"/>
  <c r="Q345" i="2"/>
  <c r="Q343" i="2"/>
  <c r="Q341" i="2"/>
  <c r="Q339" i="2"/>
  <c r="Q337" i="2"/>
  <c r="Q335" i="2"/>
  <c r="Q333" i="2"/>
  <c r="Q331" i="2"/>
  <c r="Q329" i="2"/>
  <c r="Q327" i="2"/>
  <c r="Q325" i="2"/>
  <c r="Q323" i="2"/>
  <c r="Q321" i="2"/>
  <c r="Q319" i="2"/>
  <c r="Q317" i="2"/>
  <c r="Q313" i="2"/>
  <c r="Q311" i="2"/>
  <c r="Q309" i="2"/>
  <c r="Q307" i="2"/>
  <c r="Q305" i="2"/>
  <c r="Q303" i="2"/>
  <c r="Q301" i="2"/>
  <c r="Q299" i="2"/>
  <c r="Q297" i="2"/>
  <c r="Q295" i="2"/>
  <c r="Q293" i="2"/>
  <c r="Q291" i="2"/>
  <c r="Q289" i="2"/>
  <c r="Q287" i="2"/>
  <c r="Q285" i="2"/>
  <c r="Q283" i="2"/>
  <c r="Q281" i="2"/>
  <c r="Q279" i="2"/>
  <c r="Q277" i="2"/>
  <c r="Q275" i="2"/>
  <c r="Q273" i="2"/>
  <c r="Q271" i="2"/>
  <c r="Q269" i="2"/>
  <c r="Q267" i="2"/>
  <c r="Q265" i="2"/>
  <c r="Q263" i="2"/>
  <c r="Q261" i="2"/>
  <c r="Q259" i="2"/>
  <c r="Q257" i="2"/>
  <c r="Q255" i="2"/>
  <c r="Q253" i="2"/>
  <c r="Q249" i="2"/>
  <c r="Q247" i="2"/>
  <c r="Q245" i="2"/>
  <c r="Q243" i="2"/>
  <c r="Q241" i="2"/>
  <c r="Q239" i="2"/>
  <c r="Q237" i="2"/>
  <c r="Q235" i="2"/>
  <c r="Q233" i="2"/>
  <c r="Q231" i="2"/>
  <c r="Q229" i="2"/>
  <c r="Q227" i="2"/>
  <c r="Q225" i="2"/>
  <c r="Q223" i="2"/>
  <c r="Q221" i="2"/>
  <c r="Q219" i="2"/>
  <c r="Q217" i="2"/>
  <c r="Q215" i="2"/>
  <c r="Q296" i="2"/>
  <c r="Q294" i="2"/>
  <c r="Q292" i="2"/>
  <c r="Q290" i="2"/>
  <c r="Q288" i="2"/>
  <c r="Q286" i="2"/>
  <c r="Q282" i="2"/>
  <c r="Q280" i="2"/>
  <c r="Q278" i="2"/>
  <c r="Q276" i="2"/>
  <c r="Q274" i="2"/>
  <c r="Q272" i="2"/>
  <c r="Q270" i="2"/>
  <c r="Q268" i="2"/>
  <c r="Q266" i="2"/>
  <c r="Q264" i="2"/>
  <c r="Q262" i="2"/>
  <c r="Q260" i="2"/>
  <c r="Q258" i="2"/>
  <c r="Q256" i="2"/>
  <c r="Q254" i="2"/>
  <c r="Q252" i="2"/>
  <c r="Q250" i="2"/>
  <c r="Q248" i="2"/>
  <c r="Q246" i="2"/>
  <c r="Q244" i="2"/>
  <c r="Q240" i="2"/>
  <c r="Q238" i="2"/>
  <c r="Q236" i="2"/>
  <c r="Q234" i="2"/>
  <c r="Q232" i="2"/>
  <c r="Q230" i="2"/>
  <c r="Q228" i="2"/>
  <c r="Q226" i="2"/>
  <c r="Q224" i="2"/>
  <c r="Q222" i="2"/>
  <c r="Q220" i="2"/>
  <c r="Q218" i="2"/>
  <c r="Q216" i="2"/>
  <c r="Q214" i="2"/>
  <c r="Q106" i="2"/>
  <c r="Q31" i="2"/>
  <c r="Q29" i="2"/>
  <c r="Q104" i="2"/>
  <c r="Q102" i="2"/>
  <c r="Q107" i="2"/>
  <c r="Q105" i="2"/>
  <c r="Q32" i="2"/>
  <c r="Q30" i="2"/>
  <c r="Q28" i="2"/>
  <c r="Q26" i="2"/>
  <c r="Q103" i="2"/>
  <c r="Q95" i="2"/>
  <c r="E50" i="1"/>
  <c r="M50" i="1"/>
  <c r="I54" i="1"/>
  <c r="C56" i="1"/>
  <c r="K56" i="1"/>
  <c r="E58" i="1"/>
  <c r="I62" i="1"/>
  <c r="H101" i="2"/>
  <c r="H85" i="2"/>
  <c r="P101" i="2"/>
  <c r="P85" i="2"/>
  <c r="H96" i="2"/>
  <c r="I72" i="1"/>
  <c r="R168" i="1"/>
  <c r="M171" i="2"/>
  <c r="M54" i="2"/>
  <c r="L182" i="2"/>
  <c r="L111" i="2"/>
  <c r="L70" i="2"/>
  <c r="U200" i="2"/>
  <c r="U150" i="2"/>
  <c r="P212" i="2"/>
  <c r="O212" i="2"/>
  <c r="V215" i="1"/>
  <c r="N217" i="1"/>
  <c r="M270" i="1"/>
  <c r="E272" i="1"/>
  <c r="U272" i="1"/>
  <c r="O168" i="2"/>
  <c r="O118" i="2"/>
  <c r="O48" i="2"/>
  <c r="I322" i="1"/>
  <c r="Q324" i="1"/>
  <c r="E345" i="1"/>
  <c r="M345" i="1"/>
  <c r="U347" i="1"/>
  <c r="U447" i="1"/>
  <c r="U449" i="1"/>
  <c r="V205" i="1" s="1"/>
  <c r="R577" i="1"/>
  <c r="V582" i="1"/>
  <c r="V580" i="1" s="1"/>
  <c r="V578" i="1" s="1"/>
  <c r="U242" i="2"/>
  <c r="U1622" i="1"/>
  <c r="U574" i="1" s="1"/>
  <c r="J167" i="2"/>
  <c r="J117" i="2"/>
  <c r="J115" i="2"/>
  <c r="E187" i="2"/>
  <c r="M138" i="2"/>
  <c r="N187" i="2" s="1"/>
  <c r="E84" i="2"/>
  <c r="E81" i="2"/>
  <c r="E79" i="2"/>
  <c r="E77" i="2"/>
  <c r="E4" i="2"/>
  <c r="E82" i="2"/>
  <c r="E80" i="2"/>
  <c r="E78" i="2"/>
  <c r="J166" i="1"/>
  <c r="V169" i="1"/>
  <c r="F215" i="1"/>
  <c r="J216" i="1"/>
  <c r="R216" i="1"/>
  <c r="P172" i="2"/>
  <c r="P56" i="2"/>
  <c r="M417" i="1"/>
  <c r="M413" i="1" s="1"/>
  <c r="M419" i="1"/>
  <c r="Q420" i="1"/>
  <c r="Q413" i="1" s="1"/>
  <c r="U429" i="1"/>
  <c r="I25" i="2"/>
  <c r="I18" i="2"/>
  <c r="I16" i="2"/>
  <c r="I74" i="2"/>
  <c r="I34" i="2"/>
  <c r="I73" i="2"/>
  <c r="I21" i="2"/>
  <c r="I22" i="2"/>
  <c r="I19" i="2"/>
  <c r="I17" i="2"/>
  <c r="I15" i="2"/>
  <c r="I13" i="2"/>
  <c r="I14" i="2" s="1"/>
  <c r="I5" i="2"/>
  <c r="I3" i="2"/>
  <c r="I75" i="2"/>
  <c r="Q7" i="1"/>
  <c r="Q16" i="2" s="1"/>
  <c r="N65" i="2"/>
  <c r="N57" i="2"/>
  <c r="N7" i="2"/>
  <c r="N67" i="2"/>
  <c r="N59" i="2"/>
  <c r="N51" i="2"/>
  <c r="N47" i="2"/>
  <c r="N69" i="2"/>
  <c r="N61" i="2"/>
  <c r="N53" i="2"/>
  <c r="N27" i="2"/>
  <c r="N16" i="2"/>
  <c r="N49" i="2"/>
  <c r="N71" i="2"/>
  <c r="N63" i="2"/>
  <c r="N55" i="2"/>
  <c r="V65" i="2"/>
  <c r="V57" i="2"/>
  <c r="V7" i="2"/>
  <c r="V67" i="2"/>
  <c r="V59" i="2"/>
  <c r="V51" i="2"/>
  <c r="V47" i="2"/>
  <c r="V69" i="2"/>
  <c r="V61" i="2"/>
  <c r="V53" i="2"/>
  <c r="V27" i="2"/>
  <c r="V16" i="2"/>
  <c r="V49" i="2"/>
  <c r="V71" i="2"/>
  <c r="V63" i="2"/>
  <c r="V55" i="2"/>
  <c r="F84" i="2"/>
  <c r="F81" i="2"/>
  <c r="F79" i="2"/>
  <c r="F77" i="2"/>
  <c r="F4" i="2"/>
  <c r="F82" i="2"/>
  <c r="F80" i="2"/>
  <c r="F78" i="2"/>
  <c r="N84" i="2"/>
  <c r="N81" i="2"/>
  <c r="N79" i="2"/>
  <c r="N77" i="2"/>
  <c r="N4" i="2"/>
  <c r="N82" i="2"/>
  <c r="N80" i="2"/>
  <c r="N78" i="2"/>
  <c r="V81" i="2"/>
  <c r="V79" i="2"/>
  <c r="V77" i="2"/>
  <c r="V4" i="2"/>
  <c r="V83" i="2"/>
  <c r="V82" i="2"/>
  <c r="V80" i="2"/>
  <c r="V78" i="2"/>
  <c r="J687" i="2"/>
  <c r="J685" i="2"/>
  <c r="J683" i="2"/>
  <c r="J681" i="2"/>
  <c r="J679" i="2"/>
  <c r="J677" i="2"/>
  <c r="J675" i="2"/>
  <c r="J673" i="2"/>
  <c r="J688" i="2"/>
  <c r="J674" i="2"/>
  <c r="J680" i="2"/>
  <c r="J676" i="2"/>
  <c r="J686" i="2"/>
  <c r="J670" i="2"/>
  <c r="J669" i="2"/>
  <c r="J667" i="2"/>
  <c r="J658" i="2"/>
  <c r="J651" i="2"/>
  <c r="J663" i="2"/>
  <c r="J654" i="2"/>
  <c r="J646" i="2"/>
  <c r="J682" i="2"/>
  <c r="J668" i="2"/>
  <c r="J661" i="2"/>
  <c r="J652" i="2"/>
  <c r="J648" i="2"/>
  <c r="J638" i="2"/>
  <c r="J635" i="2"/>
  <c r="J671" i="2"/>
  <c r="J659" i="2"/>
  <c r="J657" i="2"/>
  <c r="J656" i="2"/>
  <c r="J655" i="2"/>
  <c r="J653" i="2"/>
  <c r="J647" i="2"/>
  <c r="J641" i="2"/>
  <c r="J665" i="2"/>
  <c r="J650" i="2"/>
  <c r="J649" i="2"/>
  <c r="J636" i="2"/>
  <c r="J633" i="2"/>
  <c r="J640" i="2"/>
  <c r="J634" i="2"/>
  <c r="J627" i="2"/>
  <c r="J662" i="2"/>
  <c r="J631" i="2"/>
  <c r="J626" i="2"/>
  <c r="J604" i="2"/>
  <c r="J601" i="2"/>
  <c r="J599" i="2"/>
  <c r="J597" i="2"/>
  <c r="J595" i="2"/>
  <c r="J593" i="2"/>
  <c r="J591" i="2"/>
  <c r="J587" i="2"/>
  <c r="J585" i="2"/>
  <c r="J583" i="2"/>
  <c r="J579" i="2"/>
  <c r="J577" i="2"/>
  <c r="J575" i="2"/>
  <c r="J573" i="2"/>
  <c r="J571" i="2"/>
  <c r="J672" i="2"/>
  <c r="J660" i="2"/>
  <c r="J639" i="2"/>
  <c r="J666" i="2"/>
  <c r="J632" i="2"/>
  <c r="J620" i="2"/>
  <c r="J617" i="2"/>
  <c r="J596" i="2"/>
  <c r="J580" i="2"/>
  <c r="J637" i="2"/>
  <c r="J630" i="2"/>
  <c r="J621" i="2"/>
  <c r="J609" i="2"/>
  <c r="J628" i="2"/>
  <c r="J592" i="2"/>
  <c r="J565" i="2"/>
  <c r="J629" i="2"/>
  <c r="J664" i="2"/>
  <c r="J608" i="2"/>
  <c r="J600" i="2"/>
  <c r="J574" i="2"/>
  <c r="J563" i="2"/>
  <c r="J560" i="2"/>
  <c r="J558" i="2"/>
  <c r="J556" i="2"/>
  <c r="J554" i="2"/>
  <c r="J552" i="2"/>
  <c r="J550" i="2"/>
  <c r="J548" i="2"/>
  <c r="J642" i="2"/>
  <c r="J644" i="2"/>
  <c r="J618" i="2"/>
  <c r="J576" i="2"/>
  <c r="J557" i="2"/>
  <c r="J549" i="2"/>
  <c r="J684" i="2"/>
  <c r="J619" i="2"/>
  <c r="J594" i="2"/>
  <c r="J623" i="2"/>
  <c r="J603" i="2"/>
  <c r="J598" i="2"/>
  <c r="J584" i="2"/>
  <c r="J567" i="2"/>
  <c r="J564" i="2"/>
  <c r="J553" i="2"/>
  <c r="J622" i="2"/>
  <c r="J612" i="2"/>
  <c r="J606" i="2"/>
  <c r="J590" i="2"/>
  <c r="J551" i="2"/>
  <c r="J541" i="2"/>
  <c r="J533" i="2"/>
  <c r="J528" i="2"/>
  <c r="J524" i="2"/>
  <c r="J520" i="2"/>
  <c r="J518" i="2"/>
  <c r="J516" i="2"/>
  <c r="J514" i="2"/>
  <c r="J512" i="2"/>
  <c r="J510" i="2"/>
  <c r="J508" i="2"/>
  <c r="J645" i="2"/>
  <c r="J615" i="2"/>
  <c r="J578" i="2"/>
  <c r="J534" i="2"/>
  <c r="J624" i="2"/>
  <c r="J568" i="2"/>
  <c r="J613" i="2"/>
  <c r="J610" i="2"/>
  <c r="J607" i="2"/>
  <c r="J555" i="2"/>
  <c r="J544" i="2"/>
  <c r="J536" i="2"/>
  <c r="J643" i="2"/>
  <c r="J616" i="2"/>
  <c r="J614" i="2"/>
  <c r="J547" i="2"/>
  <c r="J535" i="2"/>
  <c r="J529" i="2"/>
  <c r="J605" i="2"/>
  <c r="J588" i="2"/>
  <c r="J566" i="2"/>
  <c r="J539" i="2"/>
  <c r="J523" i="2"/>
  <c r="J515" i="2"/>
  <c r="J582" i="2"/>
  <c r="J538" i="2"/>
  <c r="J521" i="2"/>
  <c r="J506" i="2"/>
  <c r="J611" i="2"/>
  <c r="J570" i="2"/>
  <c r="J559" i="2"/>
  <c r="J530" i="2"/>
  <c r="J511" i="2"/>
  <c r="J586" i="2"/>
  <c r="J527" i="2"/>
  <c r="J545" i="2"/>
  <c r="J540" i="2"/>
  <c r="J543" i="2"/>
  <c r="J531" i="2"/>
  <c r="J504" i="2"/>
  <c r="J502" i="2"/>
  <c r="J500" i="2"/>
  <c r="J498" i="2"/>
  <c r="J496" i="2"/>
  <c r="J494" i="2"/>
  <c r="J492" i="2"/>
  <c r="J490" i="2"/>
  <c r="J488" i="2"/>
  <c r="J486" i="2"/>
  <c r="J482" i="2"/>
  <c r="J480" i="2"/>
  <c r="J478" i="2"/>
  <c r="J476" i="2"/>
  <c r="J474" i="2"/>
  <c r="J472" i="2"/>
  <c r="J470" i="2"/>
  <c r="J468" i="2"/>
  <c r="J466" i="2"/>
  <c r="J464" i="2"/>
  <c r="J462" i="2"/>
  <c r="J460" i="2"/>
  <c r="J458" i="2"/>
  <c r="J454" i="2"/>
  <c r="J452" i="2"/>
  <c r="J450" i="2"/>
  <c r="J448" i="2"/>
  <c r="J446" i="2"/>
  <c r="J444" i="2"/>
  <c r="J442" i="2"/>
  <c r="J440" i="2"/>
  <c r="J436" i="2"/>
  <c r="J434" i="2"/>
  <c r="J432" i="2"/>
  <c r="J430" i="2"/>
  <c r="J428" i="2"/>
  <c r="J546" i="2"/>
  <c r="J509" i="2"/>
  <c r="J525" i="2"/>
  <c r="J537" i="2"/>
  <c r="J532" i="2"/>
  <c r="J572" i="2"/>
  <c r="J562" i="2"/>
  <c r="J517" i="2"/>
  <c r="J513" i="2"/>
  <c r="J505" i="2"/>
  <c r="J503" i="2"/>
  <c r="J501" i="2"/>
  <c r="J497" i="2"/>
  <c r="J495" i="2"/>
  <c r="J493" i="2"/>
  <c r="J491" i="2"/>
  <c r="J489" i="2"/>
  <c r="J487" i="2"/>
  <c r="J485" i="2"/>
  <c r="J483" i="2"/>
  <c r="J481" i="2"/>
  <c r="J479" i="2"/>
  <c r="J477" i="2"/>
  <c r="J475" i="2"/>
  <c r="J473" i="2"/>
  <c r="J471" i="2"/>
  <c r="J469" i="2"/>
  <c r="J467" i="2"/>
  <c r="J465" i="2"/>
  <c r="J463" i="2"/>
  <c r="J461" i="2"/>
  <c r="J459" i="2"/>
  <c r="J457" i="2"/>
  <c r="J455" i="2"/>
  <c r="J453" i="2"/>
  <c r="J451" i="2"/>
  <c r="J449" i="2"/>
  <c r="J447" i="2"/>
  <c r="J445" i="2"/>
  <c r="J443" i="2"/>
  <c r="J441" i="2"/>
  <c r="J439" i="2"/>
  <c r="J437" i="2"/>
  <c r="J435" i="2"/>
  <c r="J433" i="2"/>
  <c r="J431" i="2"/>
  <c r="J429" i="2"/>
  <c r="J427" i="2"/>
  <c r="J519" i="2"/>
  <c r="J407" i="2"/>
  <c r="J399" i="2"/>
  <c r="J391" i="2"/>
  <c r="J383" i="2"/>
  <c r="J375" i="2"/>
  <c r="J401" i="2"/>
  <c r="J393" i="2"/>
  <c r="J377" i="2"/>
  <c r="J369" i="2"/>
  <c r="J418" i="2"/>
  <c r="J417" i="2"/>
  <c r="J416" i="2"/>
  <c r="J406" i="2"/>
  <c r="J396" i="2"/>
  <c r="J386" i="2"/>
  <c r="J374" i="2"/>
  <c r="J419" i="2"/>
  <c r="J408" i="2"/>
  <c r="J403" i="2"/>
  <c r="J381" i="2"/>
  <c r="J376" i="2"/>
  <c r="J371" i="2"/>
  <c r="J422" i="2"/>
  <c r="J421" i="2"/>
  <c r="J420" i="2"/>
  <c r="J410" i="2"/>
  <c r="J398" i="2"/>
  <c r="J388" i="2"/>
  <c r="J378" i="2"/>
  <c r="J366" i="2"/>
  <c r="J365" i="2"/>
  <c r="J358" i="2"/>
  <c r="J357" i="2"/>
  <c r="J350" i="2"/>
  <c r="J349" i="2"/>
  <c r="J348" i="2"/>
  <c r="J346" i="2"/>
  <c r="J344" i="2"/>
  <c r="J342" i="2"/>
  <c r="J340" i="2"/>
  <c r="J338" i="2"/>
  <c r="J336" i="2"/>
  <c r="J334" i="2"/>
  <c r="J332" i="2"/>
  <c r="J423" i="2"/>
  <c r="J405" i="2"/>
  <c r="J400" i="2"/>
  <c r="J395" i="2"/>
  <c r="J373" i="2"/>
  <c r="J426" i="2"/>
  <c r="J425" i="2"/>
  <c r="J402" i="2"/>
  <c r="J390" i="2"/>
  <c r="J380" i="2"/>
  <c r="J370" i="2"/>
  <c r="J368" i="2"/>
  <c r="J367" i="2"/>
  <c r="J397" i="2"/>
  <c r="J392" i="2"/>
  <c r="J387" i="2"/>
  <c r="J414" i="2"/>
  <c r="J412" i="2"/>
  <c r="J404" i="2"/>
  <c r="J394" i="2"/>
  <c r="J382" i="2"/>
  <c r="J362" i="2"/>
  <c r="J361" i="2"/>
  <c r="J354" i="2"/>
  <c r="J353" i="2"/>
  <c r="J347" i="2"/>
  <c r="J345" i="2"/>
  <c r="J343" i="2"/>
  <c r="J341" i="2"/>
  <c r="J339" i="2"/>
  <c r="J337" i="2"/>
  <c r="J335" i="2"/>
  <c r="J333" i="2"/>
  <c r="J415" i="2"/>
  <c r="J411" i="2"/>
  <c r="J389" i="2"/>
  <c r="J384" i="2"/>
  <c r="J379" i="2"/>
  <c r="J359" i="2"/>
  <c r="J326" i="2"/>
  <c r="J318" i="2"/>
  <c r="J363" i="2"/>
  <c r="J327" i="2"/>
  <c r="J319" i="2"/>
  <c r="J311" i="2"/>
  <c r="J303" i="2"/>
  <c r="J352" i="2"/>
  <c r="J328" i="2"/>
  <c r="J320" i="2"/>
  <c r="J312" i="2"/>
  <c r="J304" i="2"/>
  <c r="J295" i="2"/>
  <c r="J293" i="2"/>
  <c r="J291" i="2"/>
  <c r="J289" i="2"/>
  <c r="J287" i="2"/>
  <c r="J285" i="2"/>
  <c r="J283" i="2"/>
  <c r="J281" i="2"/>
  <c r="J279" i="2"/>
  <c r="J277" i="2"/>
  <c r="J275" i="2"/>
  <c r="J273" i="2"/>
  <c r="J271" i="2"/>
  <c r="J269" i="2"/>
  <c r="J267" i="2"/>
  <c r="J356" i="2"/>
  <c r="J329" i="2"/>
  <c r="J321" i="2"/>
  <c r="J313" i="2"/>
  <c r="J305" i="2"/>
  <c r="J297" i="2"/>
  <c r="J360" i="2"/>
  <c r="J322" i="2"/>
  <c r="J314" i="2"/>
  <c r="J306" i="2"/>
  <c r="J298" i="2"/>
  <c r="J364" i="2"/>
  <c r="J331" i="2"/>
  <c r="J323" i="2"/>
  <c r="J307" i="2"/>
  <c r="J299" i="2"/>
  <c r="J351" i="2"/>
  <c r="J324" i="2"/>
  <c r="J316" i="2"/>
  <c r="J308" i="2"/>
  <c r="J300" i="2"/>
  <c r="J296" i="2"/>
  <c r="J294" i="2"/>
  <c r="J292" i="2"/>
  <c r="J290" i="2"/>
  <c r="J288" i="2"/>
  <c r="J286" i="2"/>
  <c r="J282" i="2"/>
  <c r="J280" i="2"/>
  <c r="J278" i="2"/>
  <c r="J276" i="2"/>
  <c r="J274" i="2"/>
  <c r="J272" i="2"/>
  <c r="J270" i="2"/>
  <c r="J268" i="2"/>
  <c r="J355" i="2"/>
  <c r="J325" i="2"/>
  <c r="J317" i="2"/>
  <c r="J309" i="2"/>
  <c r="J301" i="2"/>
  <c r="J238" i="2"/>
  <c r="J230" i="2"/>
  <c r="J222" i="2"/>
  <c r="J214" i="2"/>
  <c r="J264" i="2"/>
  <c r="J260" i="2"/>
  <c r="J256" i="2"/>
  <c r="J252" i="2"/>
  <c r="J248" i="2"/>
  <c r="J239" i="2"/>
  <c r="J231" i="2"/>
  <c r="J223" i="2"/>
  <c r="J215" i="2"/>
  <c r="J240" i="2"/>
  <c r="J232" i="2"/>
  <c r="J224" i="2"/>
  <c r="J216" i="2"/>
  <c r="J263" i="2"/>
  <c r="J259" i="2"/>
  <c r="J255" i="2"/>
  <c r="J247" i="2"/>
  <c r="J241" i="2"/>
  <c r="J233" i="2"/>
  <c r="J225" i="2"/>
  <c r="J217" i="2"/>
  <c r="J234" i="2"/>
  <c r="J226" i="2"/>
  <c r="J218" i="2"/>
  <c r="J266" i="2"/>
  <c r="J262" i="2"/>
  <c r="J258" i="2"/>
  <c r="J254" i="2"/>
  <c r="J250" i="2"/>
  <c r="J246" i="2"/>
  <c r="J243" i="2"/>
  <c r="J235" i="2"/>
  <c r="J227" i="2"/>
  <c r="J219" i="2"/>
  <c r="J244" i="2"/>
  <c r="J236" i="2"/>
  <c r="J228" i="2"/>
  <c r="J220" i="2"/>
  <c r="J265" i="2"/>
  <c r="J261" i="2"/>
  <c r="J257" i="2"/>
  <c r="J253" i="2"/>
  <c r="J249" i="2"/>
  <c r="J245" i="2"/>
  <c r="J237" i="2"/>
  <c r="J229" i="2"/>
  <c r="J221" i="2"/>
  <c r="J31" i="2"/>
  <c r="J29" i="2"/>
  <c r="J27" i="2"/>
  <c r="J104" i="2"/>
  <c r="J102" i="2"/>
  <c r="J107" i="2"/>
  <c r="J32" i="2"/>
  <c r="J30" i="2"/>
  <c r="J28" i="2"/>
  <c r="J26" i="2"/>
  <c r="J103" i="2"/>
  <c r="J95" i="2"/>
  <c r="J106" i="2"/>
  <c r="R687" i="2"/>
  <c r="R685" i="2"/>
  <c r="R683" i="2"/>
  <c r="R681" i="2"/>
  <c r="R679" i="2"/>
  <c r="R677" i="2"/>
  <c r="R675" i="2"/>
  <c r="R673" i="2"/>
  <c r="R671" i="2"/>
  <c r="R670" i="2"/>
  <c r="R682" i="2"/>
  <c r="R684" i="2"/>
  <c r="R674" i="2"/>
  <c r="R664" i="2"/>
  <c r="R657" i="2"/>
  <c r="R648" i="2"/>
  <c r="R672" i="2"/>
  <c r="R660" i="2"/>
  <c r="R653" i="2"/>
  <c r="R647" i="2"/>
  <c r="R667" i="2"/>
  <c r="R658" i="2"/>
  <c r="R651" i="2"/>
  <c r="R646" i="2"/>
  <c r="R688" i="2"/>
  <c r="R655" i="2"/>
  <c r="R636" i="2"/>
  <c r="R668" i="2"/>
  <c r="R639" i="2"/>
  <c r="R634" i="2"/>
  <c r="R666" i="2"/>
  <c r="R643" i="2"/>
  <c r="R631" i="2"/>
  <c r="R680" i="2"/>
  <c r="R656" i="2"/>
  <c r="R652" i="2"/>
  <c r="R642" i="2"/>
  <c r="R633" i="2"/>
  <c r="R623" i="2"/>
  <c r="R632" i="2"/>
  <c r="R627" i="2"/>
  <c r="R610" i="2"/>
  <c r="R605" i="2"/>
  <c r="R601" i="2"/>
  <c r="R599" i="2"/>
  <c r="R597" i="2"/>
  <c r="R595" i="2"/>
  <c r="R593" i="2"/>
  <c r="R591" i="2"/>
  <c r="R587" i="2"/>
  <c r="R585" i="2"/>
  <c r="R583" i="2"/>
  <c r="R579" i="2"/>
  <c r="R577" i="2"/>
  <c r="R575" i="2"/>
  <c r="R573" i="2"/>
  <c r="R571" i="2"/>
  <c r="R686" i="2"/>
  <c r="R669" i="2"/>
  <c r="R665" i="2"/>
  <c r="R649" i="2"/>
  <c r="R645" i="2"/>
  <c r="R644" i="2"/>
  <c r="R676" i="2"/>
  <c r="R663" i="2"/>
  <c r="R635" i="2"/>
  <c r="R630" i="2"/>
  <c r="R622" i="2"/>
  <c r="R619" i="2"/>
  <c r="R613" i="2"/>
  <c r="R586" i="2"/>
  <c r="R570" i="2"/>
  <c r="R628" i="2"/>
  <c r="R617" i="2"/>
  <c r="R606" i="2"/>
  <c r="R600" i="2"/>
  <c r="R637" i="2"/>
  <c r="R603" i="2"/>
  <c r="R598" i="2"/>
  <c r="R590" i="2"/>
  <c r="R578" i="2"/>
  <c r="R566" i="2"/>
  <c r="R661" i="2"/>
  <c r="R640" i="2"/>
  <c r="R638" i="2"/>
  <c r="R624" i="2"/>
  <c r="R618" i="2"/>
  <c r="R609" i="2"/>
  <c r="R594" i="2"/>
  <c r="R582" i="2"/>
  <c r="R564" i="2"/>
  <c r="R560" i="2"/>
  <c r="R558" i="2"/>
  <c r="R556" i="2"/>
  <c r="R554" i="2"/>
  <c r="R552" i="2"/>
  <c r="R550" i="2"/>
  <c r="R548" i="2"/>
  <c r="R659" i="2"/>
  <c r="R629" i="2"/>
  <c r="R555" i="2"/>
  <c r="R547" i="2"/>
  <c r="R662" i="2"/>
  <c r="R654" i="2"/>
  <c r="R616" i="2"/>
  <c r="R611" i="2"/>
  <c r="R592" i="2"/>
  <c r="R576" i="2"/>
  <c r="R559" i="2"/>
  <c r="R551" i="2"/>
  <c r="R641" i="2"/>
  <c r="R620" i="2"/>
  <c r="R574" i="2"/>
  <c r="R567" i="2"/>
  <c r="R557" i="2"/>
  <c r="R539" i="2"/>
  <c r="R531" i="2"/>
  <c r="R528" i="2"/>
  <c r="R524" i="2"/>
  <c r="R520" i="2"/>
  <c r="R518" i="2"/>
  <c r="R516" i="2"/>
  <c r="R514" i="2"/>
  <c r="R512" i="2"/>
  <c r="R510" i="2"/>
  <c r="R508" i="2"/>
  <c r="R607" i="2"/>
  <c r="R604" i="2"/>
  <c r="R596" i="2"/>
  <c r="R572" i="2"/>
  <c r="R562" i="2"/>
  <c r="R540" i="2"/>
  <c r="R532" i="2"/>
  <c r="R584" i="2"/>
  <c r="R650" i="2"/>
  <c r="R626" i="2"/>
  <c r="R614" i="2"/>
  <c r="R608" i="2"/>
  <c r="R588" i="2"/>
  <c r="R565" i="2"/>
  <c r="R534" i="2"/>
  <c r="R621" i="2"/>
  <c r="R563" i="2"/>
  <c r="R544" i="2"/>
  <c r="R519" i="2"/>
  <c r="R536" i="2"/>
  <c r="R513" i="2"/>
  <c r="R612" i="2"/>
  <c r="R541" i="2"/>
  <c r="R535" i="2"/>
  <c r="R530" i="2"/>
  <c r="R527" i="2"/>
  <c r="R506" i="2"/>
  <c r="R615" i="2"/>
  <c r="R568" i="2"/>
  <c r="R545" i="2"/>
  <c r="R533" i="2"/>
  <c r="R521" i="2"/>
  <c r="R509" i="2"/>
  <c r="R543" i="2"/>
  <c r="R538" i="2"/>
  <c r="R553" i="2"/>
  <c r="R546" i="2"/>
  <c r="R504" i="2"/>
  <c r="R502" i="2"/>
  <c r="R500" i="2"/>
  <c r="R498" i="2"/>
  <c r="R496" i="2"/>
  <c r="R494" i="2"/>
  <c r="R492" i="2"/>
  <c r="R490" i="2"/>
  <c r="R488" i="2"/>
  <c r="R486" i="2"/>
  <c r="R482" i="2"/>
  <c r="R480" i="2"/>
  <c r="R478" i="2"/>
  <c r="R476" i="2"/>
  <c r="R474" i="2"/>
  <c r="R472" i="2"/>
  <c r="R470" i="2"/>
  <c r="R468" i="2"/>
  <c r="R466" i="2"/>
  <c r="R464" i="2"/>
  <c r="R462" i="2"/>
  <c r="R460" i="2"/>
  <c r="R458" i="2"/>
  <c r="R454" i="2"/>
  <c r="R452" i="2"/>
  <c r="R450" i="2"/>
  <c r="R448" i="2"/>
  <c r="R446" i="2"/>
  <c r="R444" i="2"/>
  <c r="R442" i="2"/>
  <c r="R440" i="2"/>
  <c r="R436" i="2"/>
  <c r="R434" i="2"/>
  <c r="R432" i="2"/>
  <c r="R430" i="2"/>
  <c r="R428" i="2"/>
  <c r="R580" i="2"/>
  <c r="R517" i="2"/>
  <c r="R537" i="2"/>
  <c r="R511" i="2"/>
  <c r="R549" i="2"/>
  <c r="R523" i="2"/>
  <c r="R505" i="2"/>
  <c r="R503" i="2"/>
  <c r="R501" i="2"/>
  <c r="R497" i="2"/>
  <c r="R495" i="2"/>
  <c r="R493" i="2"/>
  <c r="R491" i="2"/>
  <c r="R489" i="2"/>
  <c r="R487" i="2"/>
  <c r="R485" i="2"/>
  <c r="R483" i="2"/>
  <c r="R481" i="2"/>
  <c r="R479" i="2"/>
  <c r="R477" i="2"/>
  <c r="R475" i="2"/>
  <c r="R473" i="2"/>
  <c r="R471" i="2"/>
  <c r="R469" i="2"/>
  <c r="R467" i="2"/>
  <c r="R465" i="2"/>
  <c r="R463" i="2"/>
  <c r="R461" i="2"/>
  <c r="R459" i="2"/>
  <c r="R457" i="2"/>
  <c r="R455" i="2"/>
  <c r="R453" i="2"/>
  <c r="R451" i="2"/>
  <c r="R449" i="2"/>
  <c r="R447" i="2"/>
  <c r="R445" i="2"/>
  <c r="R443" i="2"/>
  <c r="R441" i="2"/>
  <c r="R439" i="2"/>
  <c r="R437" i="2"/>
  <c r="R435" i="2"/>
  <c r="R433" i="2"/>
  <c r="R431" i="2"/>
  <c r="R429" i="2"/>
  <c r="R427" i="2"/>
  <c r="R529" i="2"/>
  <c r="R525" i="2"/>
  <c r="R515" i="2"/>
  <c r="R405" i="2"/>
  <c r="R397" i="2"/>
  <c r="R389" i="2"/>
  <c r="R381" i="2"/>
  <c r="R373" i="2"/>
  <c r="R407" i="2"/>
  <c r="R399" i="2"/>
  <c r="R391" i="2"/>
  <c r="R383" i="2"/>
  <c r="R375" i="2"/>
  <c r="R423" i="2"/>
  <c r="R422" i="2"/>
  <c r="R402" i="2"/>
  <c r="R392" i="2"/>
  <c r="R380" i="2"/>
  <c r="R370" i="2"/>
  <c r="R425" i="2"/>
  <c r="R387" i="2"/>
  <c r="R382" i="2"/>
  <c r="R377" i="2"/>
  <c r="R426" i="2"/>
  <c r="R412" i="2"/>
  <c r="R404" i="2"/>
  <c r="R394" i="2"/>
  <c r="R384" i="2"/>
  <c r="R364" i="2"/>
  <c r="R363" i="2"/>
  <c r="R356" i="2"/>
  <c r="R355" i="2"/>
  <c r="R348" i="2"/>
  <c r="R346" i="2"/>
  <c r="R344" i="2"/>
  <c r="R342" i="2"/>
  <c r="R340" i="2"/>
  <c r="R338" i="2"/>
  <c r="R336" i="2"/>
  <c r="R334" i="2"/>
  <c r="R332" i="2"/>
  <c r="R411" i="2"/>
  <c r="R406" i="2"/>
  <c r="R401" i="2"/>
  <c r="R379" i="2"/>
  <c r="R374" i="2"/>
  <c r="R369" i="2"/>
  <c r="R416" i="2"/>
  <c r="R415" i="2"/>
  <c r="R414" i="2"/>
  <c r="R408" i="2"/>
  <c r="R396" i="2"/>
  <c r="R386" i="2"/>
  <c r="R376" i="2"/>
  <c r="R366" i="2"/>
  <c r="R417" i="2"/>
  <c r="R403" i="2"/>
  <c r="R398" i="2"/>
  <c r="R393" i="2"/>
  <c r="R371" i="2"/>
  <c r="R420" i="2"/>
  <c r="R419" i="2"/>
  <c r="R418" i="2"/>
  <c r="R410" i="2"/>
  <c r="R400" i="2"/>
  <c r="R388" i="2"/>
  <c r="R378" i="2"/>
  <c r="R368" i="2"/>
  <c r="R367" i="2"/>
  <c r="R360" i="2"/>
  <c r="R359" i="2"/>
  <c r="R352" i="2"/>
  <c r="R351" i="2"/>
  <c r="R347" i="2"/>
  <c r="R345" i="2"/>
  <c r="R343" i="2"/>
  <c r="R341" i="2"/>
  <c r="R339" i="2"/>
  <c r="R337" i="2"/>
  <c r="R335" i="2"/>
  <c r="R333" i="2"/>
  <c r="R331" i="2"/>
  <c r="R421" i="2"/>
  <c r="R395" i="2"/>
  <c r="R390" i="2"/>
  <c r="R365" i="2"/>
  <c r="R350" i="2"/>
  <c r="R324" i="2"/>
  <c r="R316" i="2"/>
  <c r="R308" i="2"/>
  <c r="R300" i="2"/>
  <c r="R354" i="2"/>
  <c r="R325" i="2"/>
  <c r="R317" i="2"/>
  <c r="R309" i="2"/>
  <c r="R301" i="2"/>
  <c r="R358" i="2"/>
  <c r="R326" i="2"/>
  <c r="R318" i="2"/>
  <c r="R295" i="2"/>
  <c r="R293" i="2"/>
  <c r="R291" i="2"/>
  <c r="R289" i="2"/>
  <c r="R287" i="2"/>
  <c r="R285" i="2"/>
  <c r="R283" i="2"/>
  <c r="R281" i="2"/>
  <c r="R279" i="2"/>
  <c r="R277" i="2"/>
  <c r="R275" i="2"/>
  <c r="R273" i="2"/>
  <c r="R271" i="2"/>
  <c r="R269" i="2"/>
  <c r="R267" i="2"/>
  <c r="R362" i="2"/>
  <c r="R327" i="2"/>
  <c r="R319" i="2"/>
  <c r="R311" i="2"/>
  <c r="R303" i="2"/>
  <c r="R349" i="2"/>
  <c r="R328" i="2"/>
  <c r="R320" i="2"/>
  <c r="R312" i="2"/>
  <c r="R304" i="2"/>
  <c r="R353" i="2"/>
  <c r="R329" i="2"/>
  <c r="R321" i="2"/>
  <c r="R313" i="2"/>
  <c r="R305" i="2"/>
  <c r="R297" i="2"/>
  <c r="R357" i="2"/>
  <c r="R322" i="2"/>
  <c r="R314" i="2"/>
  <c r="R306" i="2"/>
  <c r="R298" i="2"/>
  <c r="R296" i="2"/>
  <c r="R294" i="2"/>
  <c r="R292" i="2"/>
  <c r="R290" i="2"/>
  <c r="R288" i="2"/>
  <c r="R286" i="2"/>
  <c r="R282" i="2"/>
  <c r="R280" i="2"/>
  <c r="R278" i="2"/>
  <c r="R276" i="2"/>
  <c r="R274" i="2"/>
  <c r="R272" i="2"/>
  <c r="R270" i="2"/>
  <c r="R268" i="2"/>
  <c r="R266" i="2"/>
  <c r="R361" i="2"/>
  <c r="R323" i="2"/>
  <c r="R307" i="2"/>
  <c r="R299" i="2"/>
  <c r="R244" i="2"/>
  <c r="R236" i="2"/>
  <c r="R228" i="2"/>
  <c r="R220" i="2"/>
  <c r="R262" i="2"/>
  <c r="R258" i="2"/>
  <c r="R254" i="2"/>
  <c r="R250" i="2"/>
  <c r="R246" i="2"/>
  <c r="R237" i="2"/>
  <c r="R229" i="2"/>
  <c r="R221" i="2"/>
  <c r="R238" i="2"/>
  <c r="R230" i="2"/>
  <c r="R222" i="2"/>
  <c r="R214" i="2"/>
  <c r="R265" i="2"/>
  <c r="R261" i="2"/>
  <c r="R257" i="2"/>
  <c r="R253" i="2"/>
  <c r="R249" i="2"/>
  <c r="R245" i="2"/>
  <c r="R239" i="2"/>
  <c r="R231" i="2"/>
  <c r="R223" i="2"/>
  <c r="R215" i="2"/>
  <c r="R240" i="2"/>
  <c r="R232" i="2"/>
  <c r="R224" i="2"/>
  <c r="R216" i="2"/>
  <c r="R264" i="2"/>
  <c r="R260" i="2"/>
  <c r="R256" i="2"/>
  <c r="R252" i="2"/>
  <c r="R248" i="2"/>
  <c r="R241" i="2"/>
  <c r="R233" i="2"/>
  <c r="R225" i="2"/>
  <c r="R217" i="2"/>
  <c r="R234" i="2"/>
  <c r="R226" i="2"/>
  <c r="R218" i="2"/>
  <c r="R263" i="2"/>
  <c r="R259" i="2"/>
  <c r="R255" i="2"/>
  <c r="R247" i="2"/>
  <c r="R243" i="2"/>
  <c r="R235" i="2"/>
  <c r="R227" i="2"/>
  <c r="R219" i="2"/>
  <c r="R31" i="2"/>
  <c r="R29" i="2"/>
  <c r="R104" i="2"/>
  <c r="R102" i="2"/>
  <c r="R107" i="2"/>
  <c r="R105" i="2"/>
  <c r="R30" i="2"/>
  <c r="R28" i="2"/>
  <c r="R26" i="2"/>
  <c r="R103" i="2"/>
  <c r="R95" i="2"/>
  <c r="R106" i="2"/>
  <c r="F50" i="1"/>
  <c r="C51" i="1"/>
  <c r="K51" i="1"/>
  <c r="H52" i="1"/>
  <c r="E53" i="1"/>
  <c r="M53" i="1"/>
  <c r="J54" i="1"/>
  <c r="G55" i="1"/>
  <c r="D56" i="1"/>
  <c r="L56" i="1"/>
  <c r="I57" i="1"/>
  <c r="F58" i="1"/>
  <c r="C59" i="1"/>
  <c r="K59" i="1"/>
  <c r="H60" i="1"/>
  <c r="E61" i="1"/>
  <c r="M61" i="1"/>
  <c r="J62" i="1"/>
  <c r="G63" i="1"/>
  <c r="D64" i="1"/>
  <c r="L64" i="1"/>
  <c r="I101" i="2"/>
  <c r="I85" i="2"/>
  <c r="Q101" i="2"/>
  <c r="Q85" i="2"/>
  <c r="C166" i="1"/>
  <c r="K166" i="1"/>
  <c r="L119" i="2"/>
  <c r="M168" i="2" s="1"/>
  <c r="Q126" i="2"/>
  <c r="D181" i="1"/>
  <c r="D166" i="1" s="1"/>
  <c r="L181" i="1"/>
  <c r="T181" i="1"/>
  <c r="E132" i="2"/>
  <c r="E181" i="2" s="1"/>
  <c r="P133" i="2"/>
  <c r="T142" i="2"/>
  <c r="T191" i="2" s="1"/>
  <c r="P202" i="1"/>
  <c r="P166" i="1" s="1"/>
  <c r="R163" i="2"/>
  <c r="R212" i="2" s="1"/>
  <c r="G215" i="1"/>
  <c r="G1078" i="1" s="1"/>
  <c r="G36" i="2" s="1"/>
  <c r="O215" i="1"/>
  <c r="J269" i="1"/>
  <c r="J1078" i="1" s="1"/>
  <c r="J36" i="2" s="1"/>
  <c r="V270" i="1"/>
  <c r="N415" i="1"/>
  <c r="V421" i="1"/>
  <c r="V427" i="1"/>
  <c r="V431" i="1"/>
  <c r="V433" i="1"/>
  <c r="F437" i="1"/>
  <c r="F434" i="1" s="1"/>
  <c r="F410" i="1" s="1"/>
  <c r="F1077" i="1" s="1"/>
  <c r="F35" i="2" s="1"/>
  <c r="V437" i="1"/>
  <c r="V439" i="1"/>
  <c r="V441" i="1"/>
  <c r="V445" i="1"/>
  <c r="V451" i="1"/>
  <c r="V453" i="1"/>
  <c r="V455" i="1"/>
  <c r="V457" i="1"/>
  <c r="R458" i="1"/>
  <c r="C577" i="1"/>
  <c r="F1140" i="1"/>
  <c r="N1140" i="1"/>
  <c r="V1140" i="1"/>
  <c r="V573" i="1" s="1"/>
  <c r="V560" i="1" s="1"/>
  <c r="C117" i="2"/>
  <c r="C115" i="2"/>
  <c r="F138" i="2"/>
  <c r="N109" i="2"/>
  <c r="L73" i="2"/>
  <c r="L21" i="2"/>
  <c r="L22" i="2"/>
  <c r="L19" i="2"/>
  <c r="L17" i="2"/>
  <c r="L15" i="2"/>
  <c r="L13" i="2"/>
  <c r="L14" i="2" s="1"/>
  <c r="L5" i="2"/>
  <c r="L3" i="2"/>
  <c r="L75" i="2"/>
  <c r="L25" i="2"/>
  <c r="L18" i="2"/>
  <c r="L74" i="2"/>
  <c r="L34" i="2"/>
  <c r="M687" i="2"/>
  <c r="M685" i="2"/>
  <c r="M683" i="2"/>
  <c r="M681" i="2"/>
  <c r="M679" i="2"/>
  <c r="M677" i="2"/>
  <c r="M675" i="2"/>
  <c r="M668" i="2"/>
  <c r="M666" i="2"/>
  <c r="M664" i="2"/>
  <c r="M662" i="2"/>
  <c r="M660" i="2"/>
  <c r="M658" i="2"/>
  <c r="M656" i="2"/>
  <c r="M654" i="2"/>
  <c r="M652" i="2"/>
  <c r="M682" i="2"/>
  <c r="M673" i="2"/>
  <c r="M670" i="2"/>
  <c r="M669" i="2"/>
  <c r="M663" i="2"/>
  <c r="M646" i="2"/>
  <c r="M659" i="2"/>
  <c r="M645" i="2"/>
  <c r="M643" i="2"/>
  <c r="M641" i="2"/>
  <c r="M639" i="2"/>
  <c r="M637" i="2"/>
  <c r="M635" i="2"/>
  <c r="M657" i="2"/>
  <c r="M650" i="2"/>
  <c r="M649" i="2"/>
  <c r="M640" i="2"/>
  <c r="M680" i="2"/>
  <c r="M676" i="2"/>
  <c r="M661" i="2"/>
  <c r="M684" i="2"/>
  <c r="M671" i="2"/>
  <c r="M634" i="2"/>
  <c r="M627" i="2"/>
  <c r="M622" i="2"/>
  <c r="M620" i="2"/>
  <c r="M618" i="2"/>
  <c r="M616" i="2"/>
  <c r="M614" i="2"/>
  <c r="M629" i="2"/>
  <c r="M651" i="2"/>
  <c r="M642" i="2"/>
  <c r="M633" i="2"/>
  <c r="M628" i="2"/>
  <c r="M615" i="2"/>
  <c r="M613" i="2"/>
  <c r="M608" i="2"/>
  <c r="M667" i="2"/>
  <c r="M648" i="2"/>
  <c r="M638" i="2"/>
  <c r="M686" i="2"/>
  <c r="M644" i="2"/>
  <c r="M631" i="2"/>
  <c r="M623" i="2"/>
  <c r="M594" i="2"/>
  <c r="M578" i="2"/>
  <c r="M573" i="2"/>
  <c r="M567" i="2"/>
  <c r="M565" i="2"/>
  <c r="M563" i="2"/>
  <c r="M665" i="2"/>
  <c r="M653" i="2"/>
  <c r="M647" i="2"/>
  <c r="M619" i="2"/>
  <c r="M612" i="2"/>
  <c r="M655" i="2"/>
  <c r="M630" i="2"/>
  <c r="M621" i="2"/>
  <c r="M604" i="2"/>
  <c r="M596" i="2"/>
  <c r="M595" i="2"/>
  <c r="M584" i="2"/>
  <c r="M560" i="2"/>
  <c r="M558" i="2"/>
  <c r="M556" i="2"/>
  <c r="M554" i="2"/>
  <c r="M552" i="2"/>
  <c r="M550" i="2"/>
  <c r="M548" i="2"/>
  <c r="M672" i="2"/>
  <c r="M610" i="2"/>
  <c r="M603" i="2"/>
  <c r="M598" i="2"/>
  <c r="M577" i="2"/>
  <c r="M626" i="2"/>
  <c r="M624" i="2"/>
  <c r="M688" i="2"/>
  <c r="M674" i="2"/>
  <c r="M632" i="2"/>
  <c r="M607" i="2"/>
  <c r="M587" i="2"/>
  <c r="M580" i="2"/>
  <c r="M571" i="2"/>
  <c r="M546" i="2"/>
  <c r="M544" i="2"/>
  <c r="M540" i="2"/>
  <c r="M538" i="2"/>
  <c r="M536" i="2"/>
  <c r="M534" i="2"/>
  <c r="M532" i="2"/>
  <c r="M530" i="2"/>
  <c r="M606" i="2"/>
  <c r="M605" i="2"/>
  <c r="M599" i="2"/>
  <c r="M588" i="2"/>
  <c r="M579" i="2"/>
  <c r="M572" i="2"/>
  <c r="M562" i="2"/>
  <c r="M547" i="2"/>
  <c r="M545" i="2"/>
  <c r="M543" i="2"/>
  <c r="M541" i="2"/>
  <c r="M539" i="2"/>
  <c r="M537" i="2"/>
  <c r="M535" i="2"/>
  <c r="M533" i="2"/>
  <c r="M531" i="2"/>
  <c r="M529" i="2"/>
  <c r="M636" i="2"/>
  <c r="M609" i="2"/>
  <c r="M592" i="2"/>
  <c r="M568" i="2"/>
  <c r="M564" i="2"/>
  <c r="M593" i="2"/>
  <c r="M576" i="2"/>
  <c r="M555" i="2"/>
  <c r="M527" i="2"/>
  <c r="M525" i="2"/>
  <c r="M523" i="2"/>
  <c r="M521" i="2"/>
  <c r="M519" i="2"/>
  <c r="M517" i="2"/>
  <c r="M600" i="2"/>
  <c r="M575" i="2"/>
  <c r="M574" i="2"/>
  <c r="M557" i="2"/>
  <c r="M601" i="2"/>
  <c r="M586" i="2"/>
  <c r="M591" i="2"/>
  <c r="M518" i="2"/>
  <c r="M590" i="2"/>
  <c r="M528" i="2"/>
  <c r="M509" i="2"/>
  <c r="M617" i="2"/>
  <c r="M553" i="2"/>
  <c r="M510" i="2"/>
  <c r="M549" i="2"/>
  <c r="M520" i="2"/>
  <c r="M513" i="2"/>
  <c r="M511" i="2"/>
  <c r="M504" i="2"/>
  <c r="M502" i="2"/>
  <c r="M500" i="2"/>
  <c r="M498" i="2"/>
  <c r="M496" i="2"/>
  <c r="M494" i="2"/>
  <c r="M582" i="2"/>
  <c r="M551" i="2"/>
  <c r="M506" i="2"/>
  <c r="M585" i="2"/>
  <c r="M611" i="2"/>
  <c r="M570" i="2"/>
  <c r="M597" i="2"/>
  <c r="M566" i="2"/>
  <c r="M515" i="2"/>
  <c r="M514" i="2"/>
  <c r="M505" i="2"/>
  <c r="M503" i="2"/>
  <c r="M501" i="2"/>
  <c r="M497" i="2"/>
  <c r="M495" i="2"/>
  <c r="M493" i="2"/>
  <c r="M516" i="2"/>
  <c r="M508" i="2"/>
  <c r="M559" i="2"/>
  <c r="M583" i="2"/>
  <c r="M512" i="2"/>
  <c r="M490" i="2"/>
  <c r="M482" i="2"/>
  <c r="M474" i="2"/>
  <c r="M466" i="2"/>
  <c r="M458" i="2"/>
  <c r="M450" i="2"/>
  <c r="M442" i="2"/>
  <c r="M434" i="2"/>
  <c r="M491" i="2"/>
  <c r="M483" i="2"/>
  <c r="M475" i="2"/>
  <c r="M467" i="2"/>
  <c r="M459" i="2"/>
  <c r="M451" i="2"/>
  <c r="M492" i="2"/>
  <c r="M476" i="2"/>
  <c r="M468" i="2"/>
  <c r="M460" i="2"/>
  <c r="M452" i="2"/>
  <c r="M485" i="2"/>
  <c r="M477" i="2"/>
  <c r="M469" i="2"/>
  <c r="M461" i="2"/>
  <c r="M453" i="2"/>
  <c r="M445" i="2"/>
  <c r="M437" i="2"/>
  <c r="M429" i="2"/>
  <c r="M486" i="2"/>
  <c r="M478" i="2"/>
  <c r="M470" i="2"/>
  <c r="M462" i="2"/>
  <c r="M454" i="2"/>
  <c r="M446" i="2"/>
  <c r="M430" i="2"/>
  <c r="M487" i="2"/>
  <c r="M479" i="2"/>
  <c r="M471" i="2"/>
  <c r="M463" i="2"/>
  <c r="M455" i="2"/>
  <c r="M488" i="2"/>
  <c r="M480" i="2"/>
  <c r="M472" i="2"/>
  <c r="M464" i="2"/>
  <c r="M448" i="2"/>
  <c r="M524" i="2"/>
  <c r="M489" i="2"/>
  <c r="M481" i="2"/>
  <c r="M473" i="2"/>
  <c r="M465" i="2"/>
  <c r="M457" i="2"/>
  <c r="M449" i="2"/>
  <c r="M441" i="2"/>
  <c r="M433" i="2"/>
  <c r="M440" i="2"/>
  <c r="M423" i="2"/>
  <c r="M419" i="2"/>
  <c r="M415" i="2"/>
  <c r="M401" i="2"/>
  <c r="M393" i="2"/>
  <c r="M377" i="2"/>
  <c r="M369" i="2"/>
  <c r="M368" i="2"/>
  <c r="M366" i="2"/>
  <c r="M364" i="2"/>
  <c r="M362" i="2"/>
  <c r="M360" i="2"/>
  <c r="M358" i="2"/>
  <c r="M356" i="2"/>
  <c r="M354" i="2"/>
  <c r="M352" i="2"/>
  <c r="M350" i="2"/>
  <c r="M444" i="2"/>
  <c r="M428" i="2"/>
  <c r="M426" i="2"/>
  <c r="M422" i="2"/>
  <c r="M418" i="2"/>
  <c r="M414" i="2"/>
  <c r="M411" i="2"/>
  <c r="M403" i="2"/>
  <c r="M395" i="2"/>
  <c r="M387" i="2"/>
  <c r="M379" i="2"/>
  <c r="M371" i="2"/>
  <c r="M435" i="2"/>
  <c r="M408" i="2"/>
  <c r="M398" i="2"/>
  <c r="M388" i="2"/>
  <c r="M376" i="2"/>
  <c r="M447" i="2"/>
  <c r="M432" i="2"/>
  <c r="M421" i="2"/>
  <c r="M420" i="2"/>
  <c r="M410" i="2"/>
  <c r="M405" i="2"/>
  <c r="M383" i="2"/>
  <c r="M378" i="2"/>
  <c r="M373" i="2"/>
  <c r="M367" i="2"/>
  <c r="M359" i="2"/>
  <c r="M351" i="2"/>
  <c r="M439" i="2"/>
  <c r="M400" i="2"/>
  <c r="M390" i="2"/>
  <c r="M380" i="2"/>
  <c r="M443" i="2"/>
  <c r="M436" i="2"/>
  <c r="M425" i="2"/>
  <c r="M407" i="2"/>
  <c r="M402" i="2"/>
  <c r="M397" i="2"/>
  <c r="M375" i="2"/>
  <c r="M370" i="2"/>
  <c r="M361" i="2"/>
  <c r="M353" i="2"/>
  <c r="M347" i="2"/>
  <c r="M345" i="2"/>
  <c r="M343" i="2"/>
  <c r="M341" i="2"/>
  <c r="M339" i="2"/>
  <c r="M337" i="2"/>
  <c r="M335" i="2"/>
  <c r="M333" i="2"/>
  <c r="M331" i="2"/>
  <c r="M329" i="2"/>
  <c r="M327" i="2"/>
  <c r="M325" i="2"/>
  <c r="M323" i="2"/>
  <c r="M321" i="2"/>
  <c r="M319" i="2"/>
  <c r="M317" i="2"/>
  <c r="M313" i="2"/>
  <c r="M311" i="2"/>
  <c r="M309" i="2"/>
  <c r="M307" i="2"/>
  <c r="M305" i="2"/>
  <c r="M303" i="2"/>
  <c r="M301" i="2"/>
  <c r="M299" i="2"/>
  <c r="M297" i="2"/>
  <c r="M404" i="2"/>
  <c r="M392" i="2"/>
  <c r="M382" i="2"/>
  <c r="M427" i="2"/>
  <c r="M412" i="2"/>
  <c r="M399" i="2"/>
  <c r="M394" i="2"/>
  <c r="M389" i="2"/>
  <c r="M363" i="2"/>
  <c r="M355" i="2"/>
  <c r="M431" i="2"/>
  <c r="M406" i="2"/>
  <c r="M396" i="2"/>
  <c r="M384" i="2"/>
  <c r="M374" i="2"/>
  <c r="M417" i="2"/>
  <c r="M416" i="2"/>
  <c r="M391" i="2"/>
  <c r="M386" i="2"/>
  <c r="M381" i="2"/>
  <c r="M365" i="2"/>
  <c r="M357" i="2"/>
  <c r="M349" i="2"/>
  <c r="M348" i="2"/>
  <c r="M346" i="2"/>
  <c r="M344" i="2"/>
  <c r="M342" i="2"/>
  <c r="M340" i="2"/>
  <c r="M338" i="2"/>
  <c r="M336" i="2"/>
  <c r="M334" i="2"/>
  <c r="M332" i="2"/>
  <c r="M328" i="2"/>
  <c r="M326" i="2"/>
  <c r="M324" i="2"/>
  <c r="M322" i="2"/>
  <c r="M320" i="2"/>
  <c r="M318" i="2"/>
  <c r="M316" i="2"/>
  <c r="M314" i="2"/>
  <c r="M312" i="2"/>
  <c r="M308" i="2"/>
  <c r="M306" i="2"/>
  <c r="M304" i="2"/>
  <c r="M300" i="2"/>
  <c r="M298" i="2"/>
  <c r="M296" i="2"/>
  <c r="M294" i="2"/>
  <c r="M292" i="2"/>
  <c r="M290" i="2"/>
  <c r="M288" i="2"/>
  <c r="M286" i="2"/>
  <c r="M282" i="2"/>
  <c r="M280" i="2"/>
  <c r="M278" i="2"/>
  <c r="M276" i="2"/>
  <c r="M274" i="2"/>
  <c r="M272" i="2"/>
  <c r="M270" i="2"/>
  <c r="M268" i="2"/>
  <c r="M266" i="2"/>
  <c r="M264" i="2"/>
  <c r="M262" i="2"/>
  <c r="M260" i="2"/>
  <c r="M258" i="2"/>
  <c r="M256" i="2"/>
  <c r="M254" i="2"/>
  <c r="M252" i="2"/>
  <c r="M250" i="2"/>
  <c r="M248" i="2"/>
  <c r="M246" i="2"/>
  <c r="M244" i="2"/>
  <c r="M240" i="2"/>
  <c r="M238" i="2"/>
  <c r="M236" i="2"/>
  <c r="M234" i="2"/>
  <c r="M232" i="2"/>
  <c r="M230" i="2"/>
  <c r="M228" i="2"/>
  <c r="M226" i="2"/>
  <c r="M224" i="2"/>
  <c r="M222" i="2"/>
  <c r="M220" i="2"/>
  <c r="M218" i="2"/>
  <c r="M216" i="2"/>
  <c r="M214" i="2"/>
  <c r="M295" i="2"/>
  <c r="M293" i="2"/>
  <c r="M291" i="2"/>
  <c r="M289" i="2"/>
  <c r="M287" i="2"/>
  <c r="M285" i="2"/>
  <c r="M283" i="2"/>
  <c r="M281" i="2"/>
  <c r="M279" i="2"/>
  <c r="M277" i="2"/>
  <c r="M275" i="2"/>
  <c r="M273" i="2"/>
  <c r="M271" i="2"/>
  <c r="M269" i="2"/>
  <c r="M267" i="2"/>
  <c r="M265" i="2"/>
  <c r="M263" i="2"/>
  <c r="M261" i="2"/>
  <c r="M259" i="2"/>
  <c r="M257" i="2"/>
  <c r="M255" i="2"/>
  <c r="M253" i="2"/>
  <c r="M249" i="2"/>
  <c r="M247" i="2"/>
  <c r="M245" i="2"/>
  <c r="M243" i="2"/>
  <c r="M241" i="2"/>
  <c r="M239" i="2"/>
  <c r="M237" i="2"/>
  <c r="M235" i="2"/>
  <c r="M233" i="2"/>
  <c r="M231" i="2"/>
  <c r="M229" i="2"/>
  <c r="M227" i="2"/>
  <c r="M225" i="2"/>
  <c r="M223" i="2"/>
  <c r="M221" i="2"/>
  <c r="M219" i="2"/>
  <c r="M217" i="2"/>
  <c r="M215" i="2"/>
  <c r="M107" i="2"/>
  <c r="M32" i="2"/>
  <c r="M30" i="2"/>
  <c r="M28" i="2"/>
  <c r="M26" i="2"/>
  <c r="M103" i="2"/>
  <c r="M95" i="2"/>
  <c r="M106" i="2"/>
  <c r="M31" i="2"/>
  <c r="M29" i="2"/>
  <c r="M104" i="2"/>
  <c r="M102" i="2"/>
  <c r="E62" i="1"/>
  <c r="J25" i="2"/>
  <c r="J18" i="2"/>
  <c r="J16" i="2"/>
  <c r="J74" i="2"/>
  <c r="J34" i="2"/>
  <c r="J73" i="2"/>
  <c r="J21" i="2"/>
  <c r="J22" i="2"/>
  <c r="J19" i="2"/>
  <c r="J17" i="2"/>
  <c r="J15" i="2"/>
  <c r="J13" i="2"/>
  <c r="J14" i="2" s="1"/>
  <c r="J5" i="2"/>
  <c r="J3" i="2"/>
  <c r="J75" i="2"/>
  <c r="J35" i="2"/>
  <c r="O84" i="2"/>
  <c r="O81" i="2"/>
  <c r="O79" i="2"/>
  <c r="O77" i="2"/>
  <c r="O4" i="2"/>
  <c r="O83" i="2"/>
  <c r="O82" i="2"/>
  <c r="O80" i="2"/>
  <c r="O78" i="2"/>
  <c r="P168" i="2"/>
  <c r="P118" i="2"/>
  <c r="P48" i="2"/>
  <c r="T182" i="2"/>
  <c r="T111" i="2"/>
  <c r="T70" i="2"/>
  <c r="H1078" i="1"/>
  <c r="H36" i="2" s="1"/>
  <c r="S424" i="1"/>
  <c r="S413" i="1" s="1"/>
  <c r="S458" i="1"/>
  <c r="D577" i="1"/>
  <c r="Q158" i="2"/>
  <c r="Q207" i="2" s="1"/>
  <c r="Q1061" i="1"/>
  <c r="D73" i="2"/>
  <c r="D22" i="2"/>
  <c r="D19" i="2"/>
  <c r="D17" i="2"/>
  <c r="D15" i="2"/>
  <c r="D13" i="2"/>
  <c r="D14" i="2" s="1"/>
  <c r="D5" i="2"/>
  <c r="D3" i="2"/>
  <c r="D75" i="2"/>
  <c r="D25" i="2"/>
  <c r="D18" i="2"/>
  <c r="D16" i="2"/>
  <c r="D74" i="2"/>
  <c r="D34" i="2"/>
  <c r="Q4" i="2"/>
  <c r="Q83" i="2"/>
  <c r="Q82" i="2"/>
  <c r="Q80" i="2"/>
  <c r="Q78" i="2"/>
  <c r="Q84" i="2"/>
  <c r="Q81" i="2"/>
  <c r="Q79" i="2"/>
  <c r="Q77" i="2"/>
  <c r="D101" i="2"/>
  <c r="D85" i="2"/>
  <c r="R25" i="2"/>
  <c r="R18" i="2"/>
  <c r="R74" i="2"/>
  <c r="R34" i="2"/>
  <c r="R73" i="2"/>
  <c r="R22" i="2"/>
  <c r="R20" i="2"/>
  <c r="R19" i="2"/>
  <c r="R17" i="2"/>
  <c r="R15" i="2"/>
  <c r="R13" i="2"/>
  <c r="R14" i="2" s="1"/>
  <c r="R5" i="2"/>
  <c r="R3" i="2"/>
  <c r="R75" i="2"/>
  <c r="O67" i="2"/>
  <c r="O59" i="2"/>
  <c r="O51" i="2"/>
  <c r="O47" i="2"/>
  <c r="O69" i="2"/>
  <c r="O61" i="2"/>
  <c r="O53" i="2"/>
  <c r="O27" i="2"/>
  <c r="O16" i="2"/>
  <c r="O49" i="2"/>
  <c r="O71" i="2"/>
  <c r="O63" i="2"/>
  <c r="O55" i="2"/>
  <c r="O65" i="2"/>
  <c r="O57" i="2"/>
  <c r="O7" i="2"/>
  <c r="G84" i="2"/>
  <c r="G81" i="2"/>
  <c r="G79" i="2"/>
  <c r="G77" i="2"/>
  <c r="G4" i="2"/>
  <c r="G82" i="2"/>
  <c r="G80" i="2"/>
  <c r="G78" i="2"/>
  <c r="C689" i="2"/>
  <c r="C687" i="2"/>
  <c r="C685" i="2"/>
  <c r="C683" i="2"/>
  <c r="C681" i="2"/>
  <c r="C679" i="2"/>
  <c r="C677" i="2"/>
  <c r="C675" i="2"/>
  <c r="C673" i="2"/>
  <c r="C671" i="2"/>
  <c r="C669" i="2"/>
  <c r="C684" i="2"/>
  <c r="C667" i="2"/>
  <c r="C665" i="2"/>
  <c r="C663" i="2"/>
  <c r="C661" i="2"/>
  <c r="C659" i="2"/>
  <c r="C657" i="2"/>
  <c r="C655" i="2"/>
  <c r="C653" i="2"/>
  <c r="C651" i="2"/>
  <c r="C688" i="2"/>
  <c r="C670" i="2"/>
  <c r="C674" i="2"/>
  <c r="C672" i="2"/>
  <c r="C666" i="2"/>
  <c r="C646" i="2"/>
  <c r="C644" i="2"/>
  <c r="C642" i="2"/>
  <c r="C640" i="2"/>
  <c r="C638" i="2"/>
  <c r="C676" i="2"/>
  <c r="C662" i="2"/>
  <c r="C650" i="2"/>
  <c r="C660" i="2"/>
  <c r="C668" i="2"/>
  <c r="C649" i="2"/>
  <c r="C641" i="2"/>
  <c r="C634" i="2"/>
  <c r="C632" i="2"/>
  <c r="C630" i="2"/>
  <c r="C628" i="2"/>
  <c r="C626" i="2"/>
  <c r="C624" i="2"/>
  <c r="C648" i="2"/>
  <c r="C664" i="2"/>
  <c r="C658" i="2"/>
  <c r="C654" i="2"/>
  <c r="C622" i="2"/>
  <c r="C620" i="2"/>
  <c r="C618" i="2"/>
  <c r="C616" i="2"/>
  <c r="C614" i="2"/>
  <c r="C612" i="2"/>
  <c r="C610" i="2"/>
  <c r="C608" i="2"/>
  <c r="C606" i="2"/>
  <c r="C604" i="2"/>
  <c r="C635" i="2"/>
  <c r="C615" i="2"/>
  <c r="C603" i="2"/>
  <c r="C652" i="2"/>
  <c r="C639" i="2"/>
  <c r="C629" i="2"/>
  <c r="C621" i="2"/>
  <c r="C600" i="2"/>
  <c r="C595" i="2"/>
  <c r="C584" i="2"/>
  <c r="C579" i="2"/>
  <c r="C613" i="2"/>
  <c r="C598" i="2"/>
  <c r="C686" i="2"/>
  <c r="C647" i="2"/>
  <c r="C645" i="2"/>
  <c r="C643" i="2"/>
  <c r="C596" i="2"/>
  <c r="C573" i="2"/>
  <c r="C564" i="2"/>
  <c r="C607" i="2"/>
  <c r="C601" i="2"/>
  <c r="C578" i="2"/>
  <c r="C577" i="2"/>
  <c r="C567" i="2"/>
  <c r="C562" i="2"/>
  <c r="C680" i="2"/>
  <c r="C637" i="2"/>
  <c r="C591" i="2"/>
  <c r="C575" i="2"/>
  <c r="C560" i="2"/>
  <c r="C552" i="2"/>
  <c r="C636" i="2"/>
  <c r="C627" i="2"/>
  <c r="C617" i="2"/>
  <c r="C593" i="2"/>
  <c r="C592" i="2"/>
  <c r="C583" i="2"/>
  <c r="C576" i="2"/>
  <c r="C568" i="2"/>
  <c r="C556" i="2"/>
  <c r="C548" i="2"/>
  <c r="C656" i="2"/>
  <c r="C619" i="2"/>
  <c r="C605" i="2"/>
  <c r="C597" i="2"/>
  <c r="C588" i="2"/>
  <c r="C587" i="2"/>
  <c r="C585" i="2"/>
  <c r="C572" i="2"/>
  <c r="C557" i="2"/>
  <c r="C544" i="2"/>
  <c r="C536" i="2"/>
  <c r="C631" i="2"/>
  <c r="C571" i="2"/>
  <c r="C566" i="2"/>
  <c r="C545" i="2"/>
  <c r="C537" i="2"/>
  <c r="C609" i="2"/>
  <c r="C590" i="2"/>
  <c r="C582" i="2"/>
  <c r="C570" i="2"/>
  <c r="C559" i="2"/>
  <c r="C599" i="2"/>
  <c r="C580" i="2"/>
  <c r="C565" i="2"/>
  <c r="C547" i="2"/>
  <c r="C539" i="2"/>
  <c r="C531" i="2"/>
  <c r="C529" i="2"/>
  <c r="C527" i="2"/>
  <c r="C525" i="2"/>
  <c r="C523" i="2"/>
  <c r="C521" i="2"/>
  <c r="C519" i="2"/>
  <c r="C517" i="2"/>
  <c r="C515" i="2"/>
  <c r="C513" i="2"/>
  <c r="C511" i="2"/>
  <c r="C509" i="2"/>
  <c r="C682" i="2"/>
  <c r="C611" i="2"/>
  <c r="C574" i="2"/>
  <c r="C554" i="2"/>
  <c r="C563" i="2"/>
  <c r="C549" i="2"/>
  <c r="C541" i="2"/>
  <c r="C508" i="2"/>
  <c r="C586" i="2"/>
  <c r="C546" i="2"/>
  <c r="C540" i="2"/>
  <c r="C535" i="2"/>
  <c r="C524" i="2"/>
  <c r="C510" i="2"/>
  <c r="C553" i="2"/>
  <c r="C538" i="2"/>
  <c r="C532" i="2"/>
  <c r="C518" i="2"/>
  <c r="C623" i="2"/>
  <c r="C530" i="2"/>
  <c r="C516" i="2"/>
  <c r="C514" i="2"/>
  <c r="C551" i="2"/>
  <c r="C594" i="2"/>
  <c r="C558" i="2"/>
  <c r="C533" i="2"/>
  <c r="C543" i="2"/>
  <c r="C512" i="2"/>
  <c r="C633" i="2"/>
  <c r="C555" i="2"/>
  <c r="C528" i="2"/>
  <c r="C550" i="2"/>
  <c r="C534" i="2"/>
  <c r="C505" i="2"/>
  <c r="C503" i="2"/>
  <c r="C501" i="2"/>
  <c r="C497" i="2"/>
  <c r="C495" i="2"/>
  <c r="C520" i="2"/>
  <c r="C504" i="2"/>
  <c r="C490" i="2"/>
  <c r="C482" i="2"/>
  <c r="C474" i="2"/>
  <c r="C466" i="2"/>
  <c r="C458" i="2"/>
  <c r="C450" i="2"/>
  <c r="C442" i="2"/>
  <c r="C434" i="2"/>
  <c r="C425" i="2"/>
  <c r="C423" i="2"/>
  <c r="C421" i="2"/>
  <c r="C419" i="2"/>
  <c r="C417" i="2"/>
  <c r="C415" i="2"/>
  <c r="C494" i="2"/>
  <c r="C491" i="2"/>
  <c r="C483" i="2"/>
  <c r="C475" i="2"/>
  <c r="C467" i="2"/>
  <c r="C459" i="2"/>
  <c r="C451" i="2"/>
  <c r="C500" i="2"/>
  <c r="C492" i="2"/>
  <c r="C476" i="2"/>
  <c r="C468" i="2"/>
  <c r="C460" i="2"/>
  <c r="C452" i="2"/>
  <c r="C506" i="2"/>
  <c r="C493" i="2"/>
  <c r="C485" i="2"/>
  <c r="C477" i="2"/>
  <c r="C469" i="2"/>
  <c r="C461" i="2"/>
  <c r="C453" i="2"/>
  <c r="C445" i="2"/>
  <c r="C437" i="2"/>
  <c r="C429" i="2"/>
  <c r="C496" i="2"/>
  <c r="C486" i="2"/>
  <c r="C478" i="2"/>
  <c r="C470" i="2"/>
  <c r="C462" i="2"/>
  <c r="C454" i="2"/>
  <c r="C446" i="2"/>
  <c r="C430" i="2"/>
  <c r="C426" i="2"/>
  <c r="C422" i="2"/>
  <c r="C420" i="2"/>
  <c r="C418" i="2"/>
  <c r="C416" i="2"/>
  <c r="C414" i="2"/>
  <c r="C412" i="2"/>
  <c r="C410" i="2"/>
  <c r="C408" i="2"/>
  <c r="C406" i="2"/>
  <c r="C404" i="2"/>
  <c r="C402" i="2"/>
  <c r="C400" i="2"/>
  <c r="C398" i="2"/>
  <c r="C396" i="2"/>
  <c r="C394" i="2"/>
  <c r="C392" i="2"/>
  <c r="C390" i="2"/>
  <c r="C388" i="2"/>
  <c r="C386" i="2"/>
  <c r="C384" i="2"/>
  <c r="C382" i="2"/>
  <c r="C380" i="2"/>
  <c r="C378" i="2"/>
  <c r="C376" i="2"/>
  <c r="C374" i="2"/>
  <c r="C370" i="2"/>
  <c r="C502" i="2"/>
  <c r="C487" i="2"/>
  <c r="C479" i="2"/>
  <c r="C471" i="2"/>
  <c r="C463" i="2"/>
  <c r="C455" i="2"/>
  <c r="C488" i="2"/>
  <c r="C480" i="2"/>
  <c r="C472" i="2"/>
  <c r="C464" i="2"/>
  <c r="C448" i="2"/>
  <c r="C498" i="2"/>
  <c r="C489" i="2"/>
  <c r="C481" i="2"/>
  <c r="C473" i="2"/>
  <c r="C465" i="2"/>
  <c r="C457" i="2"/>
  <c r="C449" i="2"/>
  <c r="C441" i="2"/>
  <c r="C433" i="2"/>
  <c r="C432" i="2"/>
  <c r="C436" i="2"/>
  <c r="C368" i="2"/>
  <c r="C366" i="2"/>
  <c r="C364" i="2"/>
  <c r="C362" i="2"/>
  <c r="C360" i="2"/>
  <c r="C358" i="2"/>
  <c r="C356" i="2"/>
  <c r="C354" i="2"/>
  <c r="C352" i="2"/>
  <c r="C350" i="2"/>
  <c r="C427" i="2"/>
  <c r="C407" i="2"/>
  <c r="C397" i="2"/>
  <c r="C375" i="2"/>
  <c r="C444" i="2"/>
  <c r="C387" i="2"/>
  <c r="C367" i="2"/>
  <c r="C359" i="2"/>
  <c r="C351" i="2"/>
  <c r="C348" i="2"/>
  <c r="C346" i="2"/>
  <c r="C344" i="2"/>
  <c r="C342" i="2"/>
  <c r="C340" i="2"/>
  <c r="C338" i="2"/>
  <c r="C447" i="2"/>
  <c r="C431" i="2"/>
  <c r="C399" i="2"/>
  <c r="C389" i="2"/>
  <c r="C377" i="2"/>
  <c r="C435" i="2"/>
  <c r="C428" i="2"/>
  <c r="C411" i="2"/>
  <c r="C379" i="2"/>
  <c r="C361" i="2"/>
  <c r="C353" i="2"/>
  <c r="C439" i="2"/>
  <c r="C401" i="2"/>
  <c r="C391" i="2"/>
  <c r="C381" i="2"/>
  <c r="C369" i="2"/>
  <c r="C403" i="2"/>
  <c r="C371" i="2"/>
  <c r="C363" i="2"/>
  <c r="C355" i="2"/>
  <c r="C347" i="2"/>
  <c r="C345" i="2"/>
  <c r="C343" i="2"/>
  <c r="C341" i="2"/>
  <c r="C339" i="2"/>
  <c r="C337" i="2"/>
  <c r="C443" i="2"/>
  <c r="C405" i="2"/>
  <c r="C393" i="2"/>
  <c r="C383" i="2"/>
  <c r="C373" i="2"/>
  <c r="C440" i="2"/>
  <c r="C395" i="2"/>
  <c r="C365" i="2"/>
  <c r="C357" i="2"/>
  <c r="C349" i="2"/>
  <c r="C329" i="2"/>
  <c r="C321" i="2"/>
  <c r="C313" i="2"/>
  <c r="C305" i="2"/>
  <c r="C334" i="2"/>
  <c r="C322" i="2"/>
  <c r="C314" i="2"/>
  <c r="C306" i="2"/>
  <c r="C298" i="2"/>
  <c r="C297" i="2"/>
  <c r="C295" i="2"/>
  <c r="C293" i="2"/>
  <c r="C291" i="2"/>
  <c r="C289" i="2"/>
  <c r="C287" i="2"/>
  <c r="C285" i="2"/>
  <c r="C283" i="2"/>
  <c r="C281" i="2"/>
  <c r="C279" i="2"/>
  <c r="C277" i="2"/>
  <c r="C275" i="2"/>
  <c r="C273" i="2"/>
  <c r="C271" i="2"/>
  <c r="C269" i="2"/>
  <c r="C331" i="2"/>
  <c r="C323" i="2"/>
  <c r="C307" i="2"/>
  <c r="C299" i="2"/>
  <c r="C333" i="2"/>
  <c r="C324" i="2"/>
  <c r="C316" i="2"/>
  <c r="C308" i="2"/>
  <c r="C300" i="2"/>
  <c r="C325" i="2"/>
  <c r="C317" i="2"/>
  <c r="C309" i="2"/>
  <c r="C301" i="2"/>
  <c r="C336" i="2"/>
  <c r="C332" i="2"/>
  <c r="C326" i="2"/>
  <c r="C318" i="2"/>
  <c r="C296" i="2"/>
  <c r="C294" i="2"/>
  <c r="C292" i="2"/>
  <c r="C290" i="2"/>
  <c r="C288" i="2"/>
  <c r="C286" i="2"/>
  <c r="C282" i="2"/>
  <c r="C280" i="2"/>
  <c r="C278" i="2"/>
  <c r="C276" i="2"/>
  <c r="C274" i="2"/>
  <c r="C272" i="2"/>
  <c r="C270" i="2"/>
  <c r="C327" i="2"/>
  <c r="C319" i="2"/>
  <c r="C311" i="2"/>
  <c r="C303" i="2"/>
  <c r="C335" i="2"/>
  <c r="C328" i="2"/>
  <c r="C320" i="2"/>
  <c r="C312" i="2"/>
  <c r="C304" i="2"/>
  <c r="C266" i="2"/>
  <c r="C262" i="2"/>
  <c r="C258" i="2"/>
  <c r="C254" i="2"/>
  <c r="C250" i="2"/>
  <c r="C246" i="2"/>
  <c r="C241" i="2"/>
  <c r="C233" i="2"/>
  <c r="C225" i="2"/>
  <c r="C217" i="2"/>
  <c r="C267" i="2"/>
  <c r="C234" i="2"/>
  <c r="C226" i="2"/>
  <c r="C218" i="2"/>
  <c r="C265" i="2"/>
  <c r="C261" i="2"/>
  <c r="C257" i="2"/>
  <c r="C253" i="2"/>
  <c r="C249" i="2"/>
  <c r="C243" i="2"/>
  <c r="C235" i="2"/>
  <c r="C227" i="2"/>
  <c r="C219" i="2"/>
  <c r="C244" i="2"/>
  <c r="C236" i="2"/>
  <c r="C228" i="2"/>
  <c r="C220" i="2"/>
  <c r="C268" i="2"/>
  <c r="C264" i="2"/>
  <c r="C260" i="2"/>
  <c r="C256" i="2"/>
  <c r="C252" i="2"/>
  <c r="C248" i="2"/>
  <c r="C245" i="2"/>
  <c r="C237" i="2"/>
  <c r="C229" i="2"/>
  <c r="C221" i="2"/>
  <c r="C238" i="2"/>
  <c r="C230" i="2"/>
  <c r="C222" i="2"/>
  <c r="C214" i="2"/>
  <c r="C263" i="2"/>
  <c r="C259" i="2"/>
  <c r="C255" i="2"/>
  <c r="C247" i="2"/>
  <c r="C239" i="2"/>
  <c r="C231" i="2"/>
  <c r="C223" i="2"/>
  <c r="C215" i="2"/>
  <c r="C240" i="2"/>
  <c r="C232" i="2"/>
  <c r="C224" i="2"/>
  <c r="C216" i="2"/>
  <c r="C104" i="2"/>
  <c r="C102" i="2"/>
  <c r="C107" i="2"/>
  <c r="C32" i="2"/>
  <c r="C30" i="2"/>
  <c r="C28" i="2"/>
  <c r="C26" i="2"/>
  <c r="C103" i="2"/>
  <c r="C95" i="2"/>
  <c r="C106" i="2"/>
  <c r="C31" i="2"/>
  <c r="C29" i="2"/>
  <c r="C27" i="2"/>
  <c r="K689" i="2"/>
  <c r="K687" i="2"/>
  <c r="K685" i="2"/>
  <c r="K683" i="2"/>
  <c r="K681" i="2"/>
  <c r="K679" i="2"/>
  <c r="K677" i="2"/>
  <c r="K675" i="2"/>
  <c r="K673" i="2"/>
  <c r="K671" i="2"/>
  <c r="K669" i="2"/>
  <c r="K672" i="2"/>
  <c r="K667" i="2"/>
  <c r="K665" i="2"/>
  <c r="K663" i="2"/>
  <c r="K661" i="2"/>
  <c r="K659" i="2"/>
  <c r="K657" i="2"/>
  <c r="K655" i="2"/>
  <c r="K653" i="2"/>
  <c r="K651" i="2"/>
  <c r="K684" i="2"/>
  <c r="K676" i="2"/>
  <c r="K656" i="2"/>
  <c r="K647" i="2"/>
  <c r="K644" i="2"/>
  <c r="K642" i="2"/>
  <c r="K640" i="2"/>
  <c r="K638" i="2"/>
  <c r="K682" i="2"/>
  <c r="K668" i="2"/>
  <c r="K652" i="2"/>
  <c r="K666" i="2"/>
  <c r="K686" i="2"/>
  <c r="K645" i="2"/>
  <c r="K639" i="2"/>
  <c r="K632" i="2"/>
  <c r="K630" i="2"/>
  <c r="K628" i="2"/>
  <c r="K626" i="2"/>
  <c r="K624" i="2"/>
  <c r="K664" i="2"/>
  <c r="K662" i="2"/>
  <c r="K660" i="2"/>
  <c r="K658" i="2"/>
  <c r="K688" i="2"/>
  <c r="K654" i="2"/>
  <c r="K648" i="2"/>
  <c r="K646" i="2"/>
  <c r="K623" i="2"/>
  <c r="K622" i="2"/>
  <c r="K620" i="2"/>
  <c r="K618" i="2"/>
  <c r="K616" i="2"/>
  <c r="K614" i="2"/>
  <c r="K612" i="2"/>
  <c r="K610" i="2"/>
  <c r="K608" i="2"/>
  <c r="K606" i="2"/>
  <c r="K604" i="2"/>
  <c r="K641" i="2"/>
  <c r="K621" i="2"/>
  <c r="K609" i="2"/>
  <c r="K643" i="2"/>
  <c r="K627" i="2"/>
  <c r="K605" i="2"/>
  <c r="K601" i="2"/>
  <c r="K590" i="2"/>
  <c r="K585" i="2"/>
  <c r="K574" i="2"/>
  <c r="K674" i="2"/>
  <c r="K636" i="2"/>
  <c r="K635" i="2"/>
  <c r="K599" i="2"/>
  <c r="K649" i="2"/>
  <c r="K629" i="2"/>
  <c r="K611" i="2"/>
  <c r="K594" i="2"/>
  <c r="K593" i="2"/>
  <c r="K582" i="2"/>
  <c r="K570" i="2"/>
  <c r="K637" i="2"/>
  <c r="K633" i="2"/>
  <c r="K597" i="2"/>
  <c r="K586" i="2"/>
  <c r="K568" i="2"/>
  <c r="K670" i="2"/>
  <c r="K631" i="2"/>
  <c r="K619" i="2"/>
  <c r="K600" i="2"/>
  <c r="K592" i="2"/>
  <c r="K578" i="2"/>
  <c r="K563" i="2"/>
  <c r="K558" i="2"/>
  <c r="K550" i="2"/>
  <c r="K607" i="2"/>
  <c r="K587" i="2"/>
  <c r="K680" i="2"/>
  <c r="K591" i="2"/>
  <c r="K577" i="2"/>
  <c r="K554" i="2"/>
  <c r="K617" i="2"/>
  <c r="K615" i="2"/>
  <c r="K603" i="2"/>
  <c r="K580" i="2"/>
  <c r="K579" i="2"/>
  <c r="K534" i="2"/>
  <c r="K564" i="2"/>
  <c r="K553" i="2"/>
  <c r="K548" i="2"/>
  <c r="K543" i="2"/>
  <c r="K535" i="2"/>
  <c r="K634" i="2"/>
  <c r="K613" i="2"/>
  <c r="K576" i="2"/>
  <c r="K560" i="2"/>
  <c r="K595" i="2"/>
  <c r="K575" i="2"/>
  <c r="K567" i="2"/>
  <c r="K545" i="2"/>
  <c r="K537" i="2"/>
  <c r="K529" i="2"/>
  <c r="K527" i="2"/>
  <c r="K525" i="2"/>
  <c r="K523" i="2"/>
  <c r="K521" i="2"/>
  <c r="K519" i="2"/>
  <c r="K517" i="2"/>
  <c r="K515" i="2"/>
  <c r="K513" i="2"/>
  <c r="K511" i="2"/>
  <c r="K509" i="2"/>
  <c r="K650" i="2"/>
  <c r="K565" i="2"/>
  <c r="K556" i="2"/>
  <c r="K546" i="2"/>
  <c r="K541" i="2"/>
  <c r="K552" i="2"/>
  <c r="K551" i="2"/>
  <c r="K544" i="2"/>
  <c r="K538" i="2"/>
  <c r="K533" i="2"/>
  <c r="K532" i="2"/>
  <c r="K516" i="2"/>
  <c r="K508" i="2"/>
  <c r="K598" i="2"/>
  <c r="K583" i="2"/>
  <c r="K547" i="2"/>
  <c r="K524" i="2"/>
  <c r="K549" i="2"/>
  <c r="K540" i="2"/>
  <c r="K512" i="2"/>
  <c r="K571" i="2"/>
  <c r="K518" i="2"/>
  <c r="K555" i="2"/>
  <c r="K536" i="2"/>
  <c r="K510" i="2"/>
  <c r="K506" i="2"/>
  <c r="K573" i="2"/>
  <c r="K557" i="2"/>
  <c r="K520" i="2"/>
  <c r="K588" i="2"/>
  <c r="K584" i="2"/>
  <c r="K566" i="2"/>
  <c r="K539" i="2"/>
  <c r="K596" i="2"/>
  <c r="K572" i="2"/>
  <c r="K562" i="2"/>
  <c r="K514" i="2"/>
  <c r="K505" i="2"/>
  <c r="K503" i="2"/>
  <c r="K501" i="2"/>
  <c r="K497" i="2"/>
  <c r="K495" i="2"/>
  <c r="K559" i="2"/>
  <c r="K530" i="2"/>
  <c r="K494" i="2"/>
  <c r="K488" i="2"/>
  <c r="K480" i="2"/>
  <c r="K472" i="2"/>
  <c r="K464" i="2"/>
  <c r="K448" i="2"/>
  <c r="K440" i="2"/>
  <c r="K432" i="2"/>
  <c r="K425" i="2"/>
  <c r="K423" i="2"/>
  <c r="K421" i="2"/>
  <c r="K419" i="2"/>
  <c r="K417" i="2"/>
  <c r="K415" i="2"/>
  <c r="K500" i="2"/>
  <c r="K489" i="2"/>
  <c r="K481" i="2"/>
  <c r="K473" i="2"/>
  <c r="K465" i="2"/>
  <c r="K457" i="2"/>
  <c r="K449" i="2"/>
  <c r="K531" i="2"/>
  <c r="K490" i="2"/>
  <c r="K482" i="2"/>
  <c r="K474" i="2"/>
  <c r="K466" i="2"/>
  <c r="K458" i="2"/>
  <c r="K496" i="2"/>
  <c r="K491" i="2"/>
  <c r="K483" i="2"/>
  <c r="K475" i="2"/>
  <c r="K467" i="2"/>
  <c r="K459" i="2"/>
  <c r="K451" i="2"/>
  <c r="K443" i="2"/>
  <c r="K435" i="2"/>
  <c r="K427" i="2"/>
  <c r="K528" i="2"/>
  <c r="K502" i="2"/>
  <c r="K492" i="2"/>
  <c r="K476" i="2"/>
  <c r="K468" i="2"/>
  <c r="K460" i="2"/>
  <c r="K452" i="2"/>
  <c r="K444" i="2"/>
  <c r="K436" i="2"/>
  <c r="K428" i="2"/>
  <c r="K426" i="2"/>
  <c r="K422" i="2"/>
  <c r="K420" i="2"/>
  <c r="K418" i="2"/>
  <c r="K416" i="2"/>
  <c r="K414" i="2"/>
  <c r="K412" i="2"/>
  <c r="K410" i="2"/>
  <c r="K408" i="2"/>
  <c r="K406" i="2"/>
  <c r="K404" i="2"/>
  <c r="K402" i="2"/>
  <c r="K400" i="2"/>
  <c r="K398" i="2"/>
  <c r="K396" i="2"/>
  <c r="K394" i="2"/>
  <c r="K392" i="2"/>
  <c r="K390" i="2"/>
  <c r="K388" i="2"/>
  <c r="K386" i="2"/>
  <c r="K384" i="2"/>
  <c r="K382" i="2"/>
  <c r="K380" i="2"/>
  <c r="K378" i="2"/>
  <c r="K376" i="2"/>
  <c r="K374" i="2"/>
  <c r="K370" i="2"/>
  <c r="K493" i="2"/>
  <c r="K485" i="2"/>
  <c r="K477" i="2"/>
  <c r="K469" i="2"/>
  <c r="K461" i="2"/>
  <c r="K453" i="2"/>
  <c r="K498" i="2"/>
  <c r="K486" i="2"/>
  <c r="K478" i="2"/>
  <c r="K470" i="2"/>
  <c r="K462" i="2"/>
  <c r="K454" i="2"/>
  <c r="K446" i="2"/>
  <c r="K504" i="2"/>
  <c r="K487" i="2"/>
  <c r="K479" i="2"/>
  <c r="K471" i="2"/>
  <c r="K463" i="2"/>
  <c r="K455" i="2"/>
  <c r="K447" i="2"/>
  <c r="K439" i="2"/>
  <c r="K431" i="2"/>
  <c r="K442" i="2"/>
  <c r="K368" i="2"/>
  <c r="K366" i="2"/>
  <c r="K364" i="2"/>
  <c r="K362" i="2"/>
  <c r="K360" i="2"/>
  <c r="K358" i="2"/>
  <c r="K356" i="2"/>
  <c r="K354" i="2"/>
  <c r="K352" i="2"/>
  <c r="K350" i="2"/>
  <c r="K445" i="2"/>
  <c r="K403" i="2"/>
  <c r="K391" i="2"/>
  <c r="K381" i="2"/>
  <c r="K371" i="2"/>
  <c r="K393" i="2"/>
  <c r="K365" i="2"/>
  <c r="K357" i="2"/>
  <c r="K349" i="2"/>
  <c r="K348" i="2"/>
  <c r="K346" i="2"/>
  <c r="K344" i="2"/>
  <c r="K342" i="2"/>
  <c r="K340" i="2"/>
  <c r="K338" i="2"/>
  <c r="K450" i="2"/>
  <c r="K429" i="2"/>
  <c r="K405" i="2"/>
  <c r="K395" i="2"/>
  <c r="K383" i="2"/>
  <c r="K373" i="2"/>
  <c r="K367" i="2"/>
  <c r="K359" i="2"/>
  <c r="K351" i="2"/>
  <c r="K433" i="2"/>
  <c r="K407" i="2"/>
  <c r="K397" i="2"/>
  <c r="K387" i="2"/>
  <c r="K375" i="2"/>
  <c r="K430" i="2"/>
  <c r="K377" i="2"/>
  <c r="K361" i="2"/>
  <c r="K353" i="2"/>
  <c r="K347" i="2"/>
  <c r="K345" i="2"/>
  <c r="K343" i="2"/>
  <c r="K341" i="2"/>
  <c r="K339" i="2"/>
  <c r="K337" i="2"/>
  <c r="K437" i="2"/>
  <c r="K411" i="2"/>
  <c r="K399" i="2"/>
  <c r="K389" i="2"/>
  <c r="K379" i="2"/>
  <c r="K441" i="2"/>
  <c r="K434" i="2"/>
  <c r="K401" i="2"/>
  <c r="K369" i="2"/>
  <c r="K363" i="2"/>
  <c r="K355" i="2"/>
  <c r="K327" i="2"/>
  <c r="K319" i="2"/>
  <c r="K311" i="2"/>
  <c r="K303" i="2"/>
  <c r="K336" i="2"/>
  <c r="K332" i="2"/>
  <c r="K328" i="2"/>
  <c r="K320" i="2"/>
  <c r="K312" i="2"/>
  <c r="K304" i="2"/>
  <c r="K295" i="2"/>
  <c r="K293" i="2"/>
  <c r="K291" i="2"/>
  <c r="K289" i="2"/>
  <c r="K287" i="2"/>
  <c r="K285" i="2"/>
  <c r="K283" i="2"/>
  <c r="K281" i="2"/>
  <c r="K279" i="2"/>
  <c r="K277" i="2"/>
  <c r="K275" i="2"/>
  <c r="K273" i="2"/>
  <c r="K271" i="2"/>
  <c r="K269" i="2"/>
  <c r="K329" i="2"/>
  <c r="K321" i="2"/>
  <c r="K313" i="2"/>
  <c r="K305" i="2"/>
  <c r="K297" i="2"/>
  <c r="K335" i="2"/>
  <c r="K322" i="2"/>
  <c r="K314" i="2"/>
  <c r="K306" i="2"/>
  <c r="K298" i="2"/>
  <c r="K331" i="2"/>
  <c r="K323" i="2"/>
  <c r="K307" i="2"/>
  <c r="K299" i="2"/>
  <c r="K334" i="2"/>
  <c r="K324" i="2"/>
  <c r="K316" i="2"/>
  <c r="K308" i="2"/>
  <c r="K300" i="2"/>
  <c r="K296" i="2"/>
  <c r="K294" i="2"/>
  <c r="K292" i="2"/>
  <c r="K290" i="2"/>
  <c r="K288" i="2"/>
  <c r="K286" i="2"/>
  <c r="K282" i="2"/>
  <c r="K280" i="2"/>
  <c r="K278" i="2"/>
  <c r="K276" i="2"/>
  <c r="K274" i="2"/>
  <c r="K272" i="2"/>
  <c r="K270" i="2"/>
  <c r="K325" i="2"/>
  <c r="K317" i="2"/>
  <c r="K309" i="2"/>
  <c r="K301" i="2"/>
  <c r="K333" i="2"/>
  <c r="K326" i="2"/>
  <c r="K318" i="2"/>
  <c r="K264" i="2"/>
  <c r="K260" i="2"/>
  <c r="K256" i="2"/>
  <c r="K252" i="2"/>
  <c r="K248" i="2"/>
  <c r="K239" i="2"/>
  <c r="K231" i="2"/>
  <c r="K223" i="2"/>
  <c r="K215" i="2"/>
  <c r="K240" i="2"/>
  <c r="K232" i="2"/>
  <c r="K224" i="2"/>
  <c r="K216" i="2"/>
  <c r="K268" i="2"/>
  <c r="K263" i="2"/>
  <c r="K259" i="2"/>
  <c r="K255" i="2"/>
  <c r="K247" i="2"/>
  <c r="K241" i="2"/>
  <c r="K233" i="2"/>
  <c r="K225" i="2"/>
  <c r="K217" i="2"/>
  <c r="K234" i="2"/>
  <c r="K226" i="2"/>
  <c r="K218" i="2"/>
  <c r="K266" i="2"/>
  <c r="K262" i="2"/>
  <c r="K258" i="2"/>
  <c r="K254" i="2"/>
  <c r="K250" i="2"/>
  <c r="K246" i="2"/>
  <c r="K243" i="2"/>
  <c r="K235" i="2"/>
  <c r="K227" i="2"/>
  <c r="K219" i="2"/>
  <c r="K244" i="2"/>
  <c r="K236" i="2"/>
  <c r="K228" i="2"/>
  <c r="K220" i="2"/>
  <c r="K265" i="2"/>
  <c r="K261" i="2"/>
  <c r="K257" i="2"/>
  <c r="K253" i="2"/>
  <c r="K249" i="2"/>
  <c r="K245" i="2"/>
  <c r="K237" i="2"/>
  <c r="K229" i="2"/>
  <c r="K221" i="2"/>
  <c r="K267" i="2"/>
  <c r="K238" i="2"/>
  <c r="K230" i="2"/>
  <c r="K222" i="2"/>
  <c r="K214" i="2"/>
  <c r="K104" i="2"/>
  <c r="K102" i="2"/>
  <c r="K107" i="2"/>
  <c r="K32" i="2"/>
  <c r="K30" i="2"/>
  <c r="K28" i="2"/>
  <c r="K26" i="2"/>
  <c r="K103" i="2"/>
  <c r="K95" i="2"/>
  <c r="K106" i="2"/>
  <c r="K31" i="2"/>
  <c r="K29" i="2"/>
  <c r="K27" i="2"/>
  <c r="S687" i="2"/>
  <c r="S685" i="2"/>
  <c r="S683" i="2"/>
  <c r="S681" i="2"/>
  <c r="S679" i="2"/>
  <c r="S677" i="2"/>
  <c r="S675" i="2"/>
  <c r="S673" i="2"/>
  <c r="S671" i="2"/>
  <c r="S669" i="2"/>
  <c r="S667" i="2"/>
  <c r="S665" i="2"/>
  <c r="S663" i="2"/>
  <c r="S661" i="2"/>
  <c r="S659" i="2"/>
  <c r="S657" i="2"/>
  <c r="S655" i="2"/>
  <c r="S653" i="2"/>
  <c r="S651" i="2"/>
  <c r="S684" i="2"/>
  <c r="S674" i="2"/>
  <c r="S686" i="2"/>
  <c r="S672" i="2"/>
  <c r="S682" i="2"/>
  <c r="S662" i="2"/>
  <c r="S644" i="2"/>
  <c r="S642" i="2"/>
  <c r="S640" i="2"/>
  <c r="S638" i="2"/>
  <c r="S636" i="2"/>
  <c r="S658" i="2"/>
  <c r="S646" i="2"/>
  <c r="S688" i="2"/>
  <c r="S656" i="2"/>
  <c r="S660" i="2"/>
  <c r="S649" i="2"/>
  <c r="S637" i="2"/>
  <c r="S635" i="2"/>
  <c r="S632" i="2"/>
  <c r="S630" i="2"/>
  <c r="S628" i="2"/>
  <c r="S626" i="2"/>
  <c r="S624" i="2"/>
  <c r="S622" i="2"/>
  <c r="S648" i="2"/>
  <c r="S645" i="2"/>
  <c r="S639" i="2"/>
  <c r="S641" i="2"/>
  <c r="S620" i="2"/>
  <c r="S618" i="2"/>
  <c r="S616" i="2"/>
  <c r="S614" i="2"/>
  <c r="S612" i="2"/>
  <c r="S610" i="2"/>
  <c r="S608" i="2"/>
  <c r="S606" i="2"/>
  <c r="S604" i="2"/>
  <c r="S619" i="2"/>
  <c r="S654" i="2"/>
  <c r="S680" i="2"/>
  <c r="S668" i="2"/>
  <c r="S634" i="2"/>
  <c r="S629" i="2"/>
  <c r="S603" i="2"/>
  <c r="S596" i="2"/>
  <c r="S591" i="2"/>
  <c r="S580" i="2"/>
  <c r="S575" i="2"/>
  <c r="S670" i="2"/>
  <c r="S650" i="2"/>
  <c r="S607" i="2"/>
  <c r="S633" i="2"/>
  <c r="S615" i="2"/>
  <c r="S601" i="2"/>
  <c r="S579" i="2"/>
  <c r="S565" i="2"/>
  <c r="S664" i="2"/>
  <c r="S676" i="2"/>
  <c r="S623" i="2"/>
  <c r="S595" i="2"/>
  <c r="S584" i="2"/>
  <c r="S583" i="2"/>
  <c r="S572" i="2"/>
  <c r="S571" i="2"/>
  <c r="S563" i="2"/>
  <c r="S627" i="2"/>
  <c r="S598" i="2"/>
  <c r="S593" i="2"/>
  <c r="S586" i="2"/>
  <c r="S577" i="2"/>
  <c r="S570" i="2"/>
  <c r="S562" i="2"/>
  <c r="S556" i="2"/>
  <c r="S548" i="2"/>
  <c r="S647" i="2"/>
  <c r="S588" i="2"/>
  <c r="S631" i="2"/>
  <c r="S617" i="2"/>
  <c r="S609" i="2"/>
  <c r="S600" i="2"/>
  <c r="S594" i="2"/>
  <c r="S578" i="2"/>
  <c r="S566" i="2"/>
  <c r="S560" i="2"/>
  <c r="S552" i="2"/>
  <c r="S613" i="2"/>
  <c r="S573" i="2"/>
  <c r="S547" i="2"/>
  <c r="S540" i="2"/>
  <c r="S532" i="2"/>
  <c r="S585" i="2"/>
  <c r="S559" i="2"/>
  <c r="S554" i="2"/>
  <c r="S549" i="2"/>
  <c r="S541" i="2"/>
  <c r="S533" i="2"/>
  <c r="S652" i="2"/>
  <c r="S597" i="2"/>
  <c r="S587" i="2"/>
  <c r="S643" i="2"/>
  <c r="S621" i="2"/>
  <c r="S611" i="2"/>
  <c r="S582" i="2"/>
  <c r="S551" i="2"/>
  <c r="S543" i="2"/>
  <c r="S535" i="2"/>
  <c r="S527" i="2"/>
  <c r="S525" i="2"/>
  <c r="S523" i="2"/>
  <c r="S521" i="2"/>
  <c r="S519" i="2"/>
  <c r="S517" i="2"/>
  <c r="S515" i="2"/>
  <c r="S513" i="2"/>
  <c r="S511" i="2"/>
  <c r="S509" i="2"/>
  <c r="S605" i="2"/>
  <c r="S557" i="2"/>
  <c r="S538" i="2"/>
  <c r="S528" i="2"/>
  <c r="S599" i="2"/>
  <c r="S592" i="2"/>
  <c r="S530" i="2"/>
  <c r="S576" i="2"/>
  <c r="S574" i="2"/>
  <c r="S567" i="2"/>
  <c r="S555" i="2"/>
  <c r="S529" i="2"/>
  <c r="S520" i="2"/>
  <c r="S514" i="2"/>
  <c r="S550" i="2"/>
  <c r="S544" i="2"/>
  <c r="S539" i="2"/>
  <c r="S666" i="2"/>
  <c r="S590" i="2"/>
  <c r="S558" i="2"/>
  <c r="S553" i="2"/>
  <c r="S564" i="2"/>
  <c r="S536" i="2"/>
  <c r="S531" i="2"/>
  <c r="S524" i="2"/>
  <c r="S546" i="2"/>
  <c r="S516" i="2"/>
  <c r="S537" i="2"/>
  <c r="S506" i="2"/>
  <c r="S512" i="2"/>
  <c r="S518" i="2"/>
  <c r="S505" i="2"/>
  <c r="S503" i="2"/>
  <c r="S501" i="2"/>
  <c r="S497" i="2"/>
  <c r="S495" i="2"/>
  <c r="S493" i="2"/>
  <c r="S568" i="2"/>
  <c r="S545" i="2"/>
  <c r="S510" i="2"/>
  <c r="S534" i="2"/>
  <c r="S500" i="2"/>
  <c r="S486" i="2"/>
  <c r="S478" i="2"/>
  <c r="S470" i="2"/>
  <c r="S462" i="2"/>
  <c r="S454" i="2"/>
  <c r="S446" i="2"/>
  <c r="S430" i="2"/>
  <c r="S425" i="2"/>
  <c r="S423" i="2"/>
  <c r="S421" i="2"/>
  <c r="S419" i="2"/>
  <c r="S417" i="2"/>
  <c r="S415" i="2"/>
  <c r="S487" i="2"/>
  <c r="S479" i="2"/>
  <c r="S471" i="2"/>
  <c r="S463" i="2"/>
  <c r="S455" i="2"/>
  <c r="S447" i="2"/>
  <c r="S496" i="2"/>
  <c r="S488" i="2"/>
  <c r="S480" i="2"/>
  <c r="S472" i="2"/>
  <c r="S464" i="2"/>
  <c r="S502" i="2"/>
  <c r="S489" i="2"/>
  <c r="S481" i="2"/>
  <c r="S473" i="2"/>
  <c r="S465" i="2"/>
  <c r="S457" i="2"/>
  <c r="S449" i="2"/>
  <c r="S441" i="2"/>
  <c r="S433" i="2"/>
  <c r="S490" i="2"/>
  <c r="S482" i="2"/>
  <c r="S474" i="2"/>
  <c r="S466" i="2"/>
  <c r="S458" i="2"/>
  <c r="S450" i="2"/>
  <c r="S442" i="2"/>
  <c r="S434" i="2"/>
  <c r="S426" i="2"/>
  <c r="S422" i="2"/>
  <c r="S420" i="2"/>
  <c r="S418" i="2"/>
  <c r="S416" i="2"/>
  <c r="S414" i="2"/>
  <c r="S412" i="2"/>
  <c r="S410" i="2"/>
  <c r="S408" i="2"/>
  <c r="S406" i="2"/>
  <c r="S404" i="2"/>
  <c r="S402" i="2"/>
  <c r="S400" i="2"/>
  <c r="S398" i="2"/>
  <c r="S396" i="2"/>
  <c r="S394" i="2"/>
  <c r="S392" i="2"/>
  <c r="S390" i="2"/>
  <c r="S388" i="2"/>
  <c r="S386" i="2"/>
  <c r="S384" i="2"/>
  <c r="S382" i="2"/>
  <c r="S380" i="2"/>
  <c r="S378" i="2"/>
  <c r="S376" i="2"/>
  <c r="S374" i="2"/>
  <c r="S370" i="2"/>
  <c r="S368" i="2"/>
  <c r="S498" i="2"/>
  <c r="S491" i="2"/>
  <c r="S483" i="2"/>
  <c r="S475" i="2"/>
  <c r="S467" i="2"/>
  <c r="S459" i="2"/>
  <c r="S451" i="2"/>
  <c r="S508" i="2"/>
  <c r="S504" i="2"/>
  <c r="S492" i="2"/>
  <c r="S476" i="2"/>
  <c r="S468" i="2"/>
  <c r="S460" i="2"/>
  <c r="S452" i="2"/>
  <c r="S494" i="2"/>
  <c r="S485" i="2"/>
  <c r="S477" i="2"/>
  <c r="S469" i="2"/>
  <c r="S461" i="2"/>
  <c r="S453" i="2"/>
  <c r="S445" i="2"/>
  <c r="S437" i="2"/>
  <c r="S429" i="2"/>
  <c r="S444" i="2"/>
  <c r="S428" i="2"/>
  <c r="S432" i="2"/>
  <c r="S366" i="2"/>
  <c r="S364" i="2"/>
  <c r="S362" i="2"/>
  <c r="S360" i="2"/>
  <c r="S358" i="2"/>
  <c r="S356" i="2"/>
  <c r="S354" i="2"/>
  <c r="S352" i="2"/>
  <c r="S350" i="2"/>
  <c r="S348" i="2"/>
  <c r="S439" i="2"/>
  <c r="S397" i="2"/>
  <c r="S387" i="2"/>
  <c r="S377" i="2"/>
  <c r="S436" i="2"/>
  <c r="S399" i="2"/>
  <c r="S363" i="2"/>
  <c r="S355" i="2"/>
  <c r="S346" i="2"/>
  <c r="S344" i="2"/>
  <c r="S342" i="2"/>
  <c r="S340" i="2"/>
  <c r="S338" i="2"/>
  <c r="S443" i="2"/>
  <c r="S411" i="2"/>
  <c r="S401" i="2"/>
  <c r="S389" i="2"/>
  <c r="S379" i="2"/>
  <c r="S369" i="2"/>
  <c r="S440" i="2"/>
  <c r="S391" i="2"/>
  <c r="S365" i="2"/>
  <c r="S357" i="2"/>
  <c r="S349" i="2"/>
  <c r="S427" i="2"/>
  <c r="S403" i="2"/>
  <c r="S393" i="2"/>
  <c r="S381" i="2"/>
  <c r="S371" i="2"/>
  <c r="S448" i="2"/>
  <c r="S431" i="2"/>
  <c r="S383" i="2"/>
  <c r="S367" i="2"/>
  <c r="S359" i="2"/>
  <c r="S351" i="2"/>
  <c r="S347" i="2"/>
  <c r="S345" i="2"/>
  <c r="S343" i="2"/>
  <c r="S341" i="2"/>
  <c r="S339" i="2"/>
  <c r="S337" i="2"/>
  <c r="S435" i="2"/>
  <c r="S405" i="2"/>
  <c r="S395" i="2"/>
  <c r="S373" i="2"/>
  <c r="S407" i="2"/>
  <c r="S375" i="2"/>
  <c r="S361" i="2"/>
  <c r="S353" i="2"/>
  <c r="S325" i="2"/>
  <c r="S317" i="2"/>
  <c r="S309" i="2"/>
  <c r="S301" i="2"/>
  <c r="S334" i="2"/>
  <c r="S326" i="2"/>
  <c r="S318" i="2"/>
  <c r="S295" i="2"/>
  <c r="S293" i="2"/>
  <c r="S291" i="2"/>
  <c r="S289" i="2"/>
  <c r="S287" i="2"/>
  <c r="S285" i="2"/>
  <c r="S283" i="2"/>
  <c r="S281" i="2"/>
  <c r="S279" i="2"/>
  <c r="S277" i="2"/>
  <c r="S275" i="2"/>
  <c r="S273" i="2"/>
  <c r="S271" i="2"/>
  <c r="S269" i="2"/>
  <c r="S327" i="2"/>
  <c r="S319" i="2"/>
  <c r="S311" i="2"/>
  <c r="S303" i="2"/>
  <c r="S333" i="2"/>
  <c r="S328" i="2"/>
  <c r="S320" i="2"/>
  <c r="S312" i="2"/>
  <c r="S304" i="2"/>
  <c r="S329" i="2"/>
  <c r="S321" i="2"/>
  <c r="S313" i="2"/>
  <c r="S305" i="2"/>
  <c r="S297" i="2"/>
  <c r="S336" i="2"/>
  <c r="S332" i="2"/>
  <c r="S322" i="2"/>
  <c r="S314" i="2"/>
  <c r="S306" i="2"/>
  <c r="S298" i="2"/>
  <c r="S296" i="2"/>
  <c r="S294" i="2"/>
  <c r="S292" i="2"/>
  <c r="S290" i="2"/>
  <c r="S288" i="2"/>
  <c r="S286" i="2"/>
  <c r="S282" i="2"/>
  <c r="S280" i="2"/>
  <c r="S278" i="2"/>
  <c r="S276" i="2"/>
  <c r="S274" i="2"/>
  <c r="S272" i="2"/>
  <c r="S270" i="2"/>
  <c r="S323" i="2"/>
  <c r="S307" i="2"/>
  <c r="S299" i="2"/>
  <c r="S335" i="2"/>
  <c r="S331" i="2"/>
  <c r="S324" i="2"/>
  <c r="S316" i="2"/>
  <c r="S308" i="2"/>
  <c r="S300" i="2"/>
  <c r="S268" i="2"/>
  <c r="S262" i="2"/>
  <c r="S258" i="2"/>
  <c r="S254" i="2"/>
  <c r="S250" i="2"/>
  <c r="S246" i="2"/>
  <c r="S237" i="2"/>
  <c r="S229" i="2"/>
  <c r="S221" i="2"/>
  <c r="S238" i="2"/>
  <c r="S230" i="2"/>
  <c r="S222" i="2"/>
  <c r="S214" i="2"/>
  <c r="S266" i="2"/>
  <c r="S265" i="2"/>
  <c r="S261" i="2"/>
  <c r="S257" i="2"/>
  <c r="S253" i="2"/>
  <c r="S249" i="2"/>
  <c r="S245" i="2"/>
  <c r="S239" i="2"/>
  <c r="S231" i="2"/>
  <c r="S223" i="2"/>
  <c r="S215" i="2"/>
  <c r="S240" i="2"/>
  <c r="S232" i="2"/>
  <c r="S224" i="2"/>
  <c r="S216" i="2"/>
  <c r="S264" i="2"/>
  <c r="S260" i="2"/>
  <c r="S256" i="2"/>
  <c r="S252" i="2"/>
  <c r="S248" i="2"/>
  <c r="S241" i="2"/>
  <c r="S233" i="2"/>
  <c r="S225" i="2"/>
  <c r="S217" i="2"/>
  <c r="S267" i="2"/>
  <c r="S234" i="2"/>
  <c r="S226" i="2"/>
  <c r="S218" i="2"/>
  <c r="S263" i="2"/>
  <c r="S259" i="2"/>
  <c r="S255" i="2"/>
  <c r="S247" i="2"/>
  <c r="S243" i="2"/>
  <c r="S235" i="2"/>
  <c r="S227" i="2"/>
  <c r="S219" i="2"/>
  <c r="S244" i="2"/>
  <c r="S236" i="2"/>
  <c r="S228" i="2"/>
  <c r="S220" i="2"/>
  <c r="S104" i="2"/>
  <c r="S102" i="2"/>
  <c r="S107" i="2"/>
  <c r="S105" i="2"/>
  <c r="S30" i="2"/>
  <c r="S28" i="2"/>
  <c r="S26" i="2"/>
  <c r="S103" i="2"/>
  <c r="S95" i="2"/>
  <c r="S106" i="2"/>
  <c r="S31" i="2"/>
  <c r="S29" i="2"/>
  <c r="C54" i="1"/>
  <c r="K54" i="1"/>
  <c r="E56" i="1"/>
  <c r="M56" i="1"/>
  <c r="C62" i="1"/>
  <c r="K62" i="1"/>
  <c r="E64" i="1"/>
  <c r="M64" i="1"/>
  <c r="J101" i="2"/>
  <c r="J85" i="2"/>
  <c r="R101" i="2"/>
  <c r="R85" i="2"/>
  <c r="V175" i="2"/>
  <c r="V62" i="2"/>
  <c r="I181" i="2"/>
  <c r="I130" i="2"/>
  <c r="J179" i="2" s="1"/>
  <c r="T134" i="2"/>
  <c r="U183" i="2" s="1"/>
  <c r="T184" i="2"/>
  <c r="T212" i="2"/>
  <c r="S212" i="2"/>
  <c r="C74" i="2"/>
  <c r="C34" i="2"/>
  <c r="C73" i="2"/>
  <c r="C22" i="2"/>
  <c r="C19" i="2"/>
  <c r="C17" i="2"/>
  <c r="C15" i="2"/>
  <c r="C13" i="2"/>
  <c r="C14" i="2" s="1"/>
  <c r="C5" i="2"/>
  <c r="C3" i="2"/>
  <c r="C75" i="2"/>
  <c r="C25" i="2"/>
  <c r="C21" i="2"/>
  <c r="C18" i="2"/>
  <c r="C16" i="2"/>
  <c r="K74" i="2"/>
  <c r="K36" i="2"/>
  <c r="K34" i="2"/>
  <c r="K73" i="2"/>
  <c r="K21" i="2"/>
  <c r="K22" i="2"/>
  <c r="K19" i="2"/>
  <c r="K17" i="2"/>
  <c r="K15" i="2"/>
  <c r="K13" i="2"/>
  <c r="K14" i="2" s="1"/>
  <c r="K5" i="2"/>
  <c r="K3" i="2"/>
  <c r="K75" i="2"/>
  <c r="K37" i="2"/>
  <c r="K35" i="2"/>
  <c r="K25" i="2"/>
  <c r="K18" i="2"/>
  <c r="K16" i="2"/>
  <c r="S7" i="1"/>
  <c r="S77" i="2" s="1"/>
  <c r="P67" i="2"/>
  <c r="P59" i="2"/>
  <c r="P51" i="2"/>
  <c r="P47" i="2"/>
  <c r="P69" i="2"/>
  <c r="P61" i="2"/>
  <c r="P53" i="2"/>
  <c r="P27" i="2"/>
  <c r="P16" i="2"/>
  <c r="P49" i="2"/>
  <c r="P71" i="2"/>
  <c r="P63" i="2"/>
  <c r="P55" i="2"/>
  <c r="P65" i="2"/>
  <c r="P57" i="2"/>
  <c r="P7" i="2"/>
  <c r="D35" i="1"/>
  <c r="D76" i="2" s="1"/>
  <c r="L35" i="1"/>
  <c r="L76" i="2" s="1"/>
  <c r="T35" i="1"/>
  <c r="T76" i="2" s="1"/>
  <c r="H4" i="2"/>
  <c r="H82" i="2"/>
  <c r="H80" i="2"/>
  <c r="H78" i="2"/>
  <c r="H84" i="2"/>
  <c r="H81" i="2"/>
  <c r="H79" i="2"/>
  <c r="H77" i="2"/>
  <c r="P4" i="2"/>
  <c r="P83" i="2"/>
  <c r="P82" i="2"/>
  <c r="P80" i="2"/>
  <c r="P78" i="2"/>
  <c r="P84" i="2"/>
  <c r="P81" i="2"/>
  <c r="P79" i="2"/>
  <c r="P77" i="2"/>
  <c r="D689" i="2"/>
  <c r="D687" i="2"/>
  <c r="D685" i="2"/>
  <c r="D683" i="2"/>
  <c r="D681" i="2"/>
  <c r="D679" i="2"/>
  <c r="D677" i="2"/>
  <c r="D675" i="2"/>
  <c r="D673" i="2"/>
  <c r="D671" i="2"/>
  <c r="D669" i="2"/>
  <c r="D688" i="2"/>
  <c r="D686" i="2"/>
  <c r="D684" i="2"/>
  <c r="D682" i="2"/>
  <c r="D670" i="2"/>
  <c r="D674" i="2"/>
  <c r="D668" i="2"/>
  <c r="D666" i="2"/>
  <c r="D664" i="2"/>
  <c r="D662" i="2"/>
  <c r="D660" i="2"/>
  <c r="D658" i="2"/>
  <c r="D656" i="2"/>
  <c r="D654" i="2"/>
  <c r="D652" i="2"/>
  <c r="D650" i="2"/>
  <c r="D648" i="2"/>
  <c r="D646" i="2"/>
  <c r="D680" i="2"/>
  <c r="D659" i="2"/>
  <c r="D655" i="2"/>
  <c r="D653" i="2"/>
  <c r="D649" i="2"/>
  <c r="D645" i="2"/>
  <c r="D643" i="2"/>
  <c r="D642" i="2"/>
  <c r="D637" i="2"/>
  <c r="D633" i="2"/>
  <c r="D631" i="2"/>
  <c r="D629" i="2"/>
  <c r="D627" i="2"/>
  <c r="D639" i="2"/>
  <c r="D635" i="2"/>
  <c r="D628" i="2"/>
  <c r="D665" i="2"/>
  <c r="D661" i="2"/>
  <c r="D641" i="2"/>
  <c r="D630" i="2"/>
  <c r="D657" i="2"/>
  <c r="D632" i="2"/>
  <c r="D623" i="2"/>
  <c r="D616" i="2"/>
  <c r="D613" i="2"/>
  <c r="D608" i="2"/>
  <c r="D651" i="2"/>
  <c r="D647" i="2"/>
  <c r="D672" i="2"/>
  <c r="D609" i="2"/>
  <c r="D594" i="2"/>
  <c r="D578" i="2"/>
  <c r="D573" i="2"/>
  <c r="D617" i="2"/>
  <c r="D619" i="2"/>
  <c r="D615" i="2"/>
  <c r="D610" i="2"/>
  <c r="D603" i="2"/>
  <c r="D597" i="2"/>
  <c r="D586" i="2"/>
  <c r="D585" i="2"/>
  <c r="D574" i="2"/>
  <c r="D563" i="2"/>
  <c r="D636" i="2"/>
  <c r="D624" i="2"/>
  <c r="D622" i="2"/>
  <c r="D590" i="2"/>
  <c r="D663" i="2"/>
  <c r="D614" i="2"/>
  <c r="D593" i="2"/>
  <c r="D584" i="2"/>
  <c r="D577" i="2"/>
  <c r="D567" i="2"/>
  <c r="D564" i="2"/>
  <c r="D553" i="2"/>
  <c r="D667" i="2"/>
  <c r="D644" i="2"/>
  <c r="D612" i="2"/>
  <c r="D611" i="2"/>
  <c r="D588" i="2"/>
  <c r="D640" i="2"/>
  <c r="D621" i="2"/>
  <c r="D607" i="2"/>
  <c r="D600" i="2"/>
  <c r="D557" i="2"/>
  <c r="D549" i="2"/>
  <c r="D571" i="2"/>
  <c r="D566" i="2"/>
  <c r="D562" i="2"/>
  <c r="D552" i="2"/>
  <c r="D545" i="2"/>
  <c r="D537" i="2"/>
  <c r="D598" i="2"/>
  <c r="D583" i="2"/>
  <c r="D582" i="2"/>
  <c r="D570" i="2"/>
  <c r="D559" i="2"/>
  <c r="D554" i="2"/>
  <c r="D546" i="2"/>
  <c r="D538" i="2"/>
  <c r="D530" i="2"/>
  <c r="D676" i="2"/>
  <c r="D606" i="2"/>
  <c r="D599" i="2"/>
  <c r="D580" i="2"/>
  <c r="D565" i="2"/>
  <c r="D638" i="2"/>
  <c r="D634" i="2"/>
  <c r="D620" i="2"/>
  <c r="D592" i="2"/>
  <c r="D591" i="2"/>
  <c r="D579" i="2"/>
  <c r="D556" i="2"/>
  <c r="D551" i="2"/>
  <c r="D540" i="2"/>
  <c r="D532" i="2"/>
  <c r="D618" i="2"/>
  <c r="D596" i="2"/>
  <c r="D587" i="2"/>
  <c r="D572" i="2"/>
  <c r="D543" i="2"/>
  <c r="D531" i="2"/>
  <c r="D521" i="2"/>
  <c r="D515" i="2"/>
  <c r="D595" i="2"/>
  <c r="D575" i="2"/>
  <c r="D560" i="2"/>
  <c r="D535" i="2"/>
  <c r="D524" i="2"/>
  <c r="D510" i="2"/>
  <c r="D605" i="2"/>
  <c r="D550" i="2"/>
  <c r="D534" i="2"/>
  <c r="D529" i="2"/>
  <c r="D511" i="2"/>
  <c r="D601" i="2"/>
  <c r="D544" i="2"/>
  <c r="D523" i="2"/>
  <c r="D514" i="2"/>
  <c r="D516" i="2"/>
  <c r="D509" i="2"/>
  <c r="D568" i="2"/>
  <c r="D547" i="2"/>
  <c r="D517" i="2"/>
  <c r="D506" i="2"/>
  <c r="D504" i="2"/>
  <c r="D502" i="2"/>
  <c r="D500" i="2"/>
  <c r="D498" i="2"/>
  <c r="D496" i="2"/>
  <c r="D494" i="2"/>
  <c r="D558" i="2"/>
  <c r="D604" i="2"/>
  <c r="D518" i="2"/>
  <c r="D512" i="2"/>
  <c r="D555" i="2"/>
  <c r="D528" i="2"/>
  <c r="D519" i="2"/>
  <c r="D548" i="2"/>
  <c r="D541" i="2"/>
  <c r="D536" i="2"/>
  <c r="D505" i="2"/>
  <c r="D503" i="2"/>
  <c r="D501" i="2"/>
  <c r="D497" i="2"/>
  <c r="D495" i="2"/>
  <c r="D539" i="2"/>
  <c r="D520" i="2"/>
  <c r="D626" i="2"/>
  <c r="D576" i="2"/>
  <c r="D525" i="2"/>
  <c r="D491" i="2"/>
  <c r="D483" i="2"/>
  <c r="D475" i="2"/>
  <c r="D467" i="2"/>
  <c r="D459" i="2"/>
  <c r="D451" i="2"/>
  <c r="D443" i="2"/>
  <c r="D435" i="2"/>
  <c r="D427" i="2"/>
  <c r="D533" i="2"/>
  <c r="D513" i="2"/>
  <c r="D492" i="2"/>
  <c r="D476" i="2"/>
  <c r="D468" i="2"/>
  <c r="D460" i="2"/>
  <c r="D452" i="2"/>
  <c r="D493" i="2"/>
  <c r="D485" i="2"/>
  <c r="D477" i="2"/>
  <c r="D469" i="2"/>
  <c r="D461" i="2"/>
  <c r="D453" i="2"/>
  <c r="D486" i="2"/>
  <c r="D478" i="2"/>
  <c r="D470" i="2"/>
  <c r="D462" i="2"/>
  <c r="D454" i="2"/>
  <c r="D446" i="2"/>
  <c r="D430" i="2"/>
  <c r="D426" i="2"/>
  <c r="D422" i="2"/>
  <c r="D420" i="2"/>
  <c r="D418" i="2"/>
  <c r="D416" i="2"/>
  <c r="D414" i="2"/>
  <c r="D412" i="2"/>
  <c r="D487" i="2"/>
  <c r="D479" i="2"/>
  <c r="D471" i="2"/>
  <c r="D463" i="2"/>
  <c r="D455" i="2"/>
  <c r="D447" i="2"/>
  <c r="D439" i="2"/>
  <c r="D431" i="2"/>
  <c r="D527" i="2"/>
  <c r="D488" i="2"/>
  <c r="D480" i="2"/>
  <c r="D472" i="2"/>
  <c r="D464" i="2"/>
  <c r="D489" i="2"/>
  <c r="D481" i="2"/>
  <c r="D473" i="2"/>
  <c r="D465" i="2"/>
  <c r="D457" i="2"/>
  <c r="D449" i="2"/>
  <c r="D508" i="2"/>
  <c r="D490" i="2"/>
  <c r="D482" i="2"/>
  <c r="D474" i="2"/>
  <c r="D466" i="2"/>
  <c r="D458" i="2"/>
  <c r="D450" i="2"/>
  <c r="D442" i="2"/>
  <c r="D434" i="2"/>
  <c r="D425" i="2"/>
  <c r="D423" i="2"/>
  <c r="D421" i="2"/>
  <c r="D419" i="2"/>
  <c r="D417" i="2"/>
  <c r="D415" i="2"/>
  <c r="D411" i="2"/>
  <c r="D407" i="2"/>
  <c r="D405" i="2"/>
  <c r="D403" i="2"/>
  <c r="D401" i="2"/>
  <c r="D399" i="2"/>
  <c r="D397" i="2"/>
  <c r="D395" i="2"/>
  <c r="D393" i="2"/>
  <c r="D391" i="2"/>
  <c r="D389" i="2"/>
  <c r="D387" i="2"/>
  <c r="D383" i="2"/>
  <c r="D381" i="2"/>
  <c r="D379" i="2"/>
  <c r="D377" i="2"/>
  <c r="D375" i="2"/>
  <c r="D373" i="2"/>
  <c r="D371" i="2"/>
  <c r="D369" i="2"/>
  <c r="D433" i="2"/>
  <c r="D410" i="2"/>
  <c r="D402" i="2"/>
  <c r="D394" i="2"/>
  <c r="D386" i="2"/>
  <c r="D378" i="2"/>
  <c r="D370" i="2"/>
  <c r="D437" i="2"/>
  <c r="D404" i="2"/>
  <c r="D396" i="2"/>
  <c r="D388" i="2"/>
  <c r="D380" i="2"/>
  <c r="D448" i="2"/>
  <c r="D444" i="2"/>
  <c r="D367" i="2"/>
  <c r="D441" i="2"/>
  <c r="D392" i="2"/>
  <c r="D382" i="2"/>
  <c r="D368" i="2"/>
  <c r="D360" i="2"/>
  <c r="D352" i="2"/>
  <c r="D428" i="2"/>
  <c r="D361" i="2"/>
  <c r="D353" i="2"/>
  <c r="D445" i="2"/>
  <c r="D406" i="2"/>
  <c r="D384" i="2"/>
  <c r="D374" i="2"/>
  <c r="D362" i="2"/>
  <c r="D354" i="2"/>
  <c r="D432" i="2"/>
  <c r="D436" i="2"/>
  <c r="D429" i="2"/>
  <c r="D408" i="2"/>
  <c r="D398" i="2"/>
  <c r="D376" i="2"/>
  <c r="D364" i="2"/>
  <c r="D356" i="2"/>
  <c r="D440" i="2"/>
  <c r="D365" i="2"/>
  <c r="D357" i="2"/>
  <c r="D349" i="2"/>
  <c r="D400" i="2"/>
  <c r="D390" i="2"/>
  <c r="D366" i="2"/>
  <c r="D358" i="2"/>
  <c r="D350" i="2"/>
  <c r="D355" i="2"/>
  <c r="D347" i="2"/>
  <c r="D339" i="2"/>
  <c r="D334" i="2"/>
  <c r="D322" i="2"/>
  <c r="D314" i="2"/>
  <c r="D306" i="2"/>
  <c r="D298" i="2"/>
  <c r="D297" i="2"/>
  <c r="D295" i="2"/>
  <c r="D293" i="2"/>
  <c r="D291" i="2"/>
  <c r="D289" i="2"/>
  <c r="D287" i="2"/>
  <c r="D285" i="2"/>
  <c r="D283" i="2"/>
  <c r="D281" i="2"/>
  <c r="D279" i="2"/>
  <c r="D277" i="2"/>
  <c r="D275" i="2"/>
  <c r="D273" i="2"/>
  <c r="D271" i="2"/>
  <c r="D269" i="2"/>
  <c r="D267" i="2"/>
  <c r="D265" i="2"/>
  <c r="D263" i="2"/>
  <c r="D261" i="2"/>
  <c r="D259" i="2"/>
  <c r="D257" i="2"/>
  <c r="D255" i="2"/>
  <c r="D253" i="2"/>
  <c r="D249" i="2"/>
  <c r="D247" i="2"/>
  <c r="D359" i="2"/>
  <c r="D342" i="2"/>
  <c r="D331" i="2"/>
  <c r="D323" i="2"/>
  <c r="D307" i="2"/>
  <c r="D299" i="2"/>
  <c r="D363" i="2"/>
  <c r="D345" i="2"/>
  <c r="D333" i="2"/>
  <c r="D324" i="2"/>
  <c r="D316" i="2"/>
  <c r="D308" i="2"/>
  <c r="D300" i="2"/>
  <c r="D348" i="2"/>
  <c r="D340" i="2"/>
  <c r="D337" i="2"/>
  <c r="D325" i="2"/>
  <c r="D317" i="2"/>
  <c r="D309" i="2"/>
  <c r="D301" i="2"/>
  <c r="D343" i="2"/>
  <c r="D336" i="2"/>
  <c r="D332" i="2"/>
  <c r="D326" i="2"/>
  <c r="D318" i="2"/>
  <c r="D296" i="2"/>
  <c r="D294" i="2"/>
  <c r="D292" i="2"/>
  <c r="D290" i="2"/>
  <c r="D288" i="2"/>
  <c r="D286" i="2"/>
  <c r="D282" i="2"/>
  <c r="D280" i="2"/>
  <c r="D278" i="2"/>
  <c r="D276" i="2"/>
  <c r="D274" i="2"/>
  <c r="D272" i="2"/>
  <c r="D270" i="2"/>
  <c r="D268" i="2"/>
  <c r="D266" i="2"/>
  <c r="D264" i="2"/>
  <c r="D262" i="2"/>
  <c r="D260" i="2"/>
  <c r="D258" i="2"/>
  <c r="D256" i="2"/>
  <c r="D254" i="2"/>
  <c r="D252" i="2"/>
  <c r="D250" i="2"/>
  <c r="D248" i="2"/>
  <c r="D246" i="2"/>
  <c r="D346" i="2"/>
  <c r="D338" i="2"/>
  <c r="D327" i="2"/>
  <c r="D319" i="2"/>
  <c r="D311" i="2"/>
  <c r="D303" i="2"/>
  <c r="D341" i="2"/>
  <c r="D335" i="2"/>
  <c r="D328" i="2"/>
  <c r="D320" i="2"/>
  <c r="D312" i="2"/>
  <c r="D304" i="2"/>
  <c r="D351" i="2"/>
  <c r="D344" i="2"/>
  <c r="D329" i="2"/>
  <c r="D321" i="2"/>
  <c r="D313" i="2"/>
  <c r="D305" i="2"/>
  <c r="D234" i="2"/>
  <c r="D226" i="2"/>
  <c r="D218" i="2"/>
  <c r="D243" i="2"/>
  <c r="D235" i="2"/>
  <c r="D227" i="2"/>
  <c r="D219" i="2"/>
  <c r="D244" i="2"/>
  <c r="D236" i="2"/>
  <c r="D228" i="2"/>
  <c r="D220" i="2"/>
  <c r="D245" i="2"/>
  <c r="D237" i="2"/>
  <c r="D229" i="2"/>
  <c r="D221" i="2"/>
  <c r="D238" i="2"/>
  <c r="D230" i="2"/>
  <c r="D222" i="2"/>
  <c r="D214" i="2"/>
  <c r="D239" i="2"/>
  <c r="D231" i="2"/>
  <c r="D223" i="2"/>
  <c r="D215" i="2"/>
  <c r="D240" i="2"/>
  <c r="D232" i="2"/>
  <c r="D224" i="2"/>
  <c r="D216" i="2"/>
  <c r="D241" i="2"/>
  <c r="D233" i="2"/>
  <c r="D225" i="2"/>
  <c r="D217" i="2"/>
  <c r="D104" i="2"/>
  <c r="D102" i="2"/>
  <c r="D107" i="2"/>
  <c r="D32" i="2"/>
  <c r="D30" i="2"/>
  <c r="D28" i="2"/>
  <c r="D26" i="2"/>
  <c r="D103" i="2"/>
  <c r="D95" i="2"/>
  <c r="D106" i="2"/>
  <c r="D31" i="2"/>
  <c r="D29" i="2"/>
  <c r="D27" i="2"/>
  <c r="L687" i="2"/>
  <c r="L685" i="2"/>
  <c r="L683" i="2"/>
  <c r="L681" i="2"/>
  <c r="L679" i="2"/>
  <c r="L677" i="2"/>
  <c r="L675" i="2"/>
  <c r="L673" i="2"/>
  <c r="L671" i="2"/>
  <c r="L669" i="2"/>
  <c r="L688" i="2"/>
  <c r="L686" i="2"/>
  <c r="L684" i="2"/>
  <c r="L680" i="2"/>
  <c r="L676" i="2"/>
  <c r="L668" i="2"/>
  <c r="L666" i="2"/>
  <c r="L664" i="2"/>
  <c r="L662" i="2"/>
  <c r="L660" i="2"/>
  <c r="L658" i="2"/>
  <c r="L656" i="2"/>
  <c r="L654" i="2"/>
  <c r="L652" i="2"/>
  <c r="L650" i="2"/>
  <c r="L648" i="2"/>
  <c r="L646" i="2"/>
  <c r="L665" i="2"/>
  <c r="L661" i="2"/>
  <c r="L659" i="2"/>
  <c r="L645" i="2"/>
  <c r="L643" i="2"/>
  <c r="L641" i="2"/>
  <c r="L670" i="2"/>
  <c r="L634" i="2"/>
  <c r="L682" i="2"/>
  <c r="L674" i="2"/>
  <c r="L649" i="2"/>
  <c r="L633" i="2"/>
  <c r="L631" i="2"/>
  <c r="L629" i="2"/>
  <c r="L627" i="2"/>
  <c r="L647" i="2"/>
  <c r="L638" i="2"/>
  <c r="L626" i="2"/>
  <c r="L655" i="2"/>
  <c r="L651" i="2"/>
  <c r="L644" i="2"/>
  <c r="L637" i="2"/>
  <c r="L628" i="2"/>
  <c r="L672" i="2"/>
  <c r="L653" i="2"/>
  <c r="L640" i="2"/>
  <c r="L639" i="2"/>
  <c r="L622" i="2"/>
  <c r="L614" i="2"/>
  <c r="L603" i="2"/>
  <c r="L642" i="2"/>
  <c r="L615" i="2"/>
  <c r="L607" i="2"/>
  <c r="L606" i="2"/>
  <c r="L600" i="2"/>
  <c r="L595" i="2"/>
  <c r="L584" i="2"/>
  <c r="L579" i="2"/>
  <c r="L616" i="2"/>
  <c r="L611" i="2"/>
  <c r="L610" i="2"/>
  <c r="L598" i="2"/>
  <c r="L617" i="2"/>
  <c r="L613" i="2"/>
  <c r="L583" i="2"/>
  <c r="L572" i="2"/>
  <c r="L571" i="2"/>
  <c r="L564" i="2"/>
  <c r="L630" i="2"/>
  <c r="L632" i="2"/>
  <c r="L620" i="2"/>
  <c r="L588" i="2"/>
  <c r="L587" i="2"/>
  <c r="L576" i="2"/>
  <c r="L575" i="2"/>
  <c r="L567" i="2"/>
  <c r="L562" i="2"/>
  <c r="L667" i="2"/>
  <c r="L657" i="2"/>
  <c r="L636" i="2"/>
  <c r="L609" i="2"/>
  <c r="L608" i="2"/>
  <c r="L594" i="2"/>
  <c r="L585" i="2"/>
  <c r="L566" i="2"/>
  <c r="L559" i="2"/>
  <c r="L551" i="2"/>
  <c r="L621" i="2"/>
  <c r="L596" i="2"/>
  <c r="L593" i="2"/>
  <c r="L586" i="2"/>
  <c r="L570" i="2"/>
  <c r="L555" i="2"/>
  <c r="L635" i="2"/>
  <c r="L599" i="2"/>
  <c r="L591" i="2"/>
  <c r="L578" i="2"/>
  <c r="L558" i="2"/>
  <c r="L553" i="2"/>
  <c r="L548" i="2"/>
  <c r="L543" i="2"/>
  <c r="L535" i="2"/>
  <c r="L663" i="2"/>
  <c r="L624" i="2"/>
  <c r="L592" i="2"/>
  <c r="L577" i="2"/>
  <c r="L568" i="2"/>
  <c r="L560" i="2"/>
  <c r="L544" i="2"/>
  <c r="L536" i="2"/>
  <c r="L563" i="2"/>
  <c r="L618" i="2"/>
  <c r="L604" i="2"/>
  <c r="L574" i="2"/>
  <c r="L573" i="2"/>
  <c r="L557" i="2"/>
  <c r="L552" i="2"/>
  <c r="L546" i="2"/>
  <c r="L538" i="2"/>
  <c r="L530" i="2"/>
  <c r="L623" i="2"/>
  <c r="L619" i="2"/>
  <c r="L549" i="2"/>
  <c r="L540" i="2"/>
  <c r="L527" i="2"/>
  <c r="L520" i="2"/>
  <c r="L582" i="2"/>
  <c r="L532" i="2"/>
  <c r="L521" i="2"/>
  <c r="L516" i="2"/>
  <c r="L508" i="2"/>
  <c r="L590" i="2"/>
  <c r="L580" i="2"/>
  <c r="L537" i="2"/>
  <c r="L531" i="2"/>
  <c r="L528" i="2"/>
  <c r="L519" i="2"/>
  <c r="L509" i="2"/>
  <c r="L565" i="2"/>
  <c r="L556" i="2"/>
  <c r="L541" i="2"/>
  <c r="L529" i="2"/>
  <c r="L512" i="2"/>
  <c r="L545" i="2"/>
  <c r="L518" i="2"/>
  <c r="L605" i="2"/>
  <c r="L533" i="2"/>
  <c r="L523" i="2"/>
  <c r="L511" i="2"/>
  <c r="L504" i="2"/>
  <c r="L502" i="2"/>
  <c r="L500" i="2"/>
  <c r="L498" i="2"/>
  <c r="L496" i="2"/>
  <c r="L494" i="2"/>
  <c r="L612" i="2"/>
  <c r="L524" i="2"/>
  <c r="L550" i="2"/>
  <c r="L539" i="2"/>
  <c r="L534" i="2"/>
  <c r="L525" i="2"/>
  <c r="L597" i="2"/>
  <c r="L515" i="2"/>
  <c r="L514" i="2"/>
  <c r="L505" i="2"/>
  <c r="L503" i="2"/>
  <c r="L501" i="2"/>
  <c r="L497" i="2"/>
  <c r="L495" i="2"/>
  <c r="L601" i="2"/>
  <c r="L554" i="2"/>
  <c r="L517" i="2"/>
  <c r="L513" i="2"/>
  <c r="L547" i="2"/>
  <c r="L489" i="2"/>
  <c r="L481" i="2"/>
  <c r="L473" i="2"/>
  <c r="L465" i="2"/>
  <c r="L457" i="2"/>
  <c r="L449" i="2"/>
  <c r="L441" i="2"/>
  <c r="L433" i="2"/>
  <c r="L490" i="2"/>
  <c r="L482" i="2"/>
  <c r="L474" i="2"/>
  <c r="L466" i="2"/>
  <c r="L458" i="2"/>
  <c r="L450" i="2"/>
  <c r="L506" i="2"/>
  <c r="L491" i="2"/>
  <c r="L483" i="2"/>
  <c r="L475" i="2"/>
  <c r="L467" i="2"/>
  <c r="L459" i="2"/>
  <c r="L451" i="2"/>
  <c r="L492" i="2"/>
  <c r="L476" i="2"/>
  <c r="L468" i="2"/>
  <c r="L460" i="2"/>
  <c r="L452" i="2"/>
  <c r="L444" i="2"/>
  <c r="L436" i="2"/>
  <c r="L428" i="2"/>
  <c r="L426" i="2"/>
  <c r="L422" i="2"/>
  <c r="L420" i="2"/>
  <c r="L418" i="2"/>
  <c r="L416" i="2"/>
  <c r="L414" i="2"/>
  <c r="L412" i="2"/>
  <c r="L510" i="2"/>
  <c r="L493" i="2"/>
  <c r="L485" i="2"/>
  <c r="L477" i="2"/>
  <c r="L469" i="2"/>
  <c r="L461" i="2"/>
  <c r="L453" i="2"/>
  <c r="L445" i="2"/>
  <c r="L437" i="2"/>
  <c r="L429" i="2"/>
  <c r="L486" i="2"/>
  <c r="L478" i="2"/>
  <c r="L470" i="2"/>
  <c r="L462" i="2"/>
  <c r="L454" i="2"/>
  <c r="L487" i="2"/>
  <c r="L479" i="2"/>
  <c r="L471" i="2"/>
  <c r="L463" i="2"/>
  <c r="L455" i="2"/>
  <c r="L447" i="2"/>
  <c r="L488" i="2"/>
  <c r="L480" i="2"/>
  <c r="L472" i="2"/>
  <c r="L464" i="2"/>
  <c r="L448" i="2"/>
  <c r="L440" i="2"/>
  <c r="L432" i="2"/>
  <c r="L425" i="2"/>
  <c r="L423" i="2"/>
  <c r="L421" i="2"/>
  <c r="L419" i="2"/>
  <c r="L417" i="2"/>
  <c r="L415" i="2"/>
  <c r="L411" i="2"/>
  <c r="L407" i="2"/>
  <c r="L405" i="2"/>
  <c r="L403" i="2"/>
  <c r="L401" i="2"/>
  <c r="L399" i="2"/>
  <c r="L397" i="2"/>
  <c r="L395" i="2"/>
  <c r="L393" i="2"/>
  <c r="L391" i="2"/>
  <c r="L389" i="2"/>
  <c r="L387" i="2"/>
  <c r="L383" i="2"/>
  <c r="L381" i="2"/>
  <c r="L379" i="2"/>
  <c r="L377" i="2"/>
  <c r="L375" i="2"/>
  <c r="L373" i="2"/>
  <c r="L371" i="2"/>
  <c r="L369" i="2"/>
  <c r="L439" i="2"/>
  <c r="L408" i="2"/>
  <c r="L400" i="2"/>
  <c r="L392" i="2"/>
  <c r="L384" i="2"/>
  <c r="L376" i="2"/>
  <c r="L443" i="2"/>
  <c r="L427" i="2"/>
  <c r="L410" i="2"/>
  <c r="L402" i="2"/>
  <c r="L394" i="2"/>
  <c r="L386" i="2"/>
  <c r="L378" i="2"/>
  <c r="L370" i="2"/>
  <c r="L442" i="2"/>
  <c r="L435" i="2"/>
  <c r="L398" i="2"/>
  <c r="L388" i="2"/>
  <c r="L366" i="2"/>
  <c r="L358" i="2"/>
  <c r="L350" i="2"/>
  <c r="L367" i="2"/>
  <c r="L359" i="2"/>
  <c r="L351" i="2"/>
  <c r="L390" i="2"/>
  <c r="L380" i="2"/>
  <c r="L368" i="2"/>
  <c r="L360" i="2"/>
  <c r="L352" i="2"/>
  <c r="L446" i="2"/>
  <c r="L430" i="2"/>
  <c r="L404" i="2"/>
  <c r="L382" i="2"/>
  <c r="L362" i="2"/>
  <c r="L354" i="2"/>
  <c r="L434" i="2"/>
  <c r="L363" i="2"/>
  <c r="L355" i="2"/>
  <c r="L431" i="2"/>
  <c r="L406" i="2"/>
  <c r="L396" i="2"/>
  <c r="L374" i="2"/>
  <c r="L364" i="2"/>
  <c r="L356" i="2"/>
  <c r="L361" i="2"/>
  <c r="L345" i="2"/>
  <c r="L337" i="2"/>
  <c r="L336" i="2"/>
  <c r="L332" i="2"/>
  <c r="L328" i="2"/>
  <c r="L320" i="2"/>
  <c r="L312" i="2"/>
  <c r="L304" i="2"/>
  <c r="L295" i="2"/>
  <c r="L293" i="2"/>
  <c r="L291" i="2"/>
  <c r="L289" i="2"/>
  <c r="L287" i="2"/>
  <c r="L285" i="2"/>
  <c r="L283" i="2"/>
  <c r="L281" i="2"/>
  <c r="L279" i="2"/>
  <c r="L277" i="2"/>
  <c r="L275" i="2"/>
  <c r="L273" i="2"/>
  <c r="L271" i="2"/>
  <c r="L269" i="2"/>
  <c r="L267" i="2"/>
  <c r="L265" i="2"/>
  <c r="L263" i="2"/>
  <c r="L261" i="2"/>
  <c r="L259" i="2"/>
  <c r="L257" i="2"/>
  <c r="L255" i="2"/>
  <c r="L253" i="2"/>
  <c r="L249" i="2"/>
  <c r="L247" i="2"/>
  <c r="L245" i="2"/>
  <c r="L365" i="2"/>
  <c r="L348" i="2"/>
  <c r="L340" i="2"/>
  <c r="L329" i="2"/>
  <c r="L321" i="2"/>
  <c r="L313" i="2"/>
  <c r="L305" i="2"/>
  <c r="L297" i="2"/>
  <c r="L343" i="2"/>
  <c r="L335" i="2"/>
  <c r="L322" i="2"/>
  <c r="L314" i="2"/>
  <c r="L306" i="2"/>
  <c r="L298" i="2"/>
  <c r="L346" i="2"/>
  <c r="L338" i="2"/>
  <c r="L331" i="2"/>
  <c r="L323" i="2"/>
  <c r="L307" i="2"/>
  <c r="L299" i="2"/>
  <c r="L341" i="2"/>
  <c r="L334" i="2"/>
  <c r="L324" i="2"/>
  <c r="L316" i="2"/>
  <c r="L308" i="2"/>
  <c r="L300" i="2"/>
  <c r="L296" i="2"/>
  <c r="L294" i="2"/>
  <c r="L292" i="2"/>
  <c r="L290" i="2"/>
  <c r="L288" i="2"/>
  <c r="L286" i="2"/>
  <c r="L282" i="2"/>
  <c r="L280" i="2"/>
  <c r="L278" i="2"/>
  <c r="L276" i="2"/>
  <c r="L274" i="2"/>
  <c r="L272" i="2"/>
  <c r="L270" i="2"/>
  <c r="L268" i="2"/>
  <c r="L266" i="2"/>
  <c r="L264" i="2"/>
  <c r="L262" i="2"/>
  <c r="L260" i="2"/>
  <c r="L258" i="2"/>
  <c r="L256" i="2"/>
  <c r="L254" i="2"/>
  <c r="L252" i="2"/>
  <c r="L250" i="2"/>
  <c r="L248" i="2"/>
  <c r="L246" i="2"/>
  <c r="L349" i="2"/>
  <c r="L344" i="2"/>
  <c r="L325" i="2"/>
  <c r="L317" i="2"/>
  <c r="L309" i="2"/>
  <c r="L301" i="2"/>
  <c r="L353" i="2"/>
  <c r="L347" i="2"/>
  <c r="L339" i="2"/>
  <c r="L333" i="2"/>
  <c r="L326" i="2"/>
  <c r="L318" i="2"/>
  <c r="L357" i="2"/>
  <c r="L342" i="2"/>
  <c r="L327" i="2"/>
  <c r="L319" i="2"/>
  <c r="L311" i="2"/>
  <c r="L303" i="2"/>
  <c r="L240" i="2"/>
  <c r="L232" i="2"/>
  <c r="L224" i="2"/>
  <c r="L216" i="2"/>
  <c r="L241" i="2"/>
  <c r="L233" i="2"/>
  <c r="L225" i="2"/>
  <c r="L217" i="2"/>
  <c r="L234" i="2"/>
  <c r="L226" i="2"/>
  <c r="L218" i="2"/>
  <c r="L243" i="2"/>
  <c r="L235" i="2"/>
  <c r="L227" i="2"/>
  <c r="L219" i="2"/>
  <c r="L244" i="2"/>
  <c r="L236" i="2"/>
  <c r="L228" i="2"/>
  <c r="L220" i="2"/>
  <c r="L237" i="2"/>
  <c r="L229" i="2"/>
  <c r="L221" i="2"/>
  <c r="L238" i="2"/>
  <c r="L230" i="2"/>
  <c r="L222" i="2"/>
  <c r="L214" i="2"/>
  <c r="L239" i="2"/>
  <c r="L231" i="2"/>
  <c r="L223" i="2"/>
  <c r="L215" i="2"/>
  <c r="L104" i="2"/>
  <c r="L102" i="2"/>
  <c r="L107" i="2"/>
  <c r="L32" i="2"/>
  <c r="L30" i="2"/>
  <c r="L28" i="2"/>
  <c r="L26" i="2"/>
  <c r="L103" i="2"/>
  <c r="L95" i="2"/>
  <c r="L106" i="2"/>
  <c r="L31" i="2"/>
  <c r="L29" i="2"/>
  <c r="T687" i="2"/>
  <c r="T685" i="2"/>
  <c r="T683" i="2"/>
  <c r="T681" i="2"/>
  <c r="T679" i="2"/>
  <c r="T677" i="2"/>
  <c r="T675" i="2"/>
  <c r="T673" i="2"/>
  <c r="T671" i="2"/>
  <c r="T669" i="2"/>
  <c r="T688" i="2"/>
  <c r="T686" i="2"/>
  <c r="T684" i="2"/>
  <c r="T682" i="2"/>
  <c r="T672" i="2"/>
  <c r="T666" i="2"/>
  <c r="T664" i="2"/>
  <c r="T662" i="2"/>
  <c r="T660" i="2"/>
  <c r="T658" i="2"/>
  <c r="T656" i="2"/>
  <c r="T654" i="2"/>
  <c r="T652" i="2"/>
  <c r="T650" i="2"/>
  <c r="T648" i="2"/>
  <c r="T646" i="2"/>
  <c r="T655" i="2"/>
  <c r="T647" i="2"/>
  <c r="T674" i="2"/>
  <c r="T667" i="2"/>
  <c r="T651" i="2"/>
  <c r="T680" i="2"/>
  <c r="T670" i="2"/>
  <c r="T665" i="2"/>
  <c r="T645" i="2"/>
  <c r="T643" i="2"/>
  <c r="T641" i="2"/>
  <c r="T676" i="2"/>
  <c r="T663" i="2"/>
  <c r="T661" i="2"/>
  <c r="T659" i="2"/>
  <c r="T657" i="2"/>
  <c r="T644" i="2"/>
  <c r="T640" i="2"/>
  <c r="T633" i="2"/>
  <c r="T631" i="2"/>
  <c r="T629" i="2"/>
  <c r="T627" i="2"/>
  <c r="T632" i="2"/>
  <c r="T624" i="2"/>
  <c r="T623" i="2"/>
  <c r="T636" i="2"/>
  <c r="T626" i="2"/>
  <c r="T622" i="2"/>
  <c r="T649" i="2"/>
  <c r="T635" i="2"/>
  <c r="T620" i="2"/>
  <c r="T609" i="2"/>
  <c r="T604" i="2"/>
  <c r="T637" i="2"/>
  <c r="T614" i="2"/>
  <c r="T601" i="2"/>
  <c r="T590" i="2"/>
  <c r="T585" i="2"/>
  <c r="T574" i="2"/>
  <c r="T639" i="2"/>
  <c r="T615" i="2"/>
  <c r="T608" i="2"/>
  <c r="T599" i="2"/>
  <c r="T612" i="2"/>
  <c r="T605" i="2"/>
  <c r="T592" i="2"/>
  <c r="T591" i="2"/>
  <c r="T580" i="2"/>
  <c r="T642" i="2"/>
  <c r="T634" i="2"/>
  <c r="T611" i="2"/>
  <c r="T596" i="2"/>
  <c r="T573" i="2"/>
  <c r="T568" i="2"/>
  <c r="T603" i="2"/>
  <c r="T595" i="2"/>
  <c r="T588" i="2"/>
  <c r="T579" i="2"/>
  <c r="T572" i="2"/>
  <c r="T565" i="2"/>
  <c r="T557" i="2"/>
  <c r="T549" i="2"/>
  <c r="T630" i="2"/>
  <c r="T628" i="2"/>
  <c r="T613" i="2"/>
  <c r="T597" i="2"/>
  <c r="T618" i="2"/>
  <c r="T610" i="2"/>
  <c r="T587" i="2"/>
  <c r="T571" i="2"/>
  <c r="T553" i="2"/>
  <c r="T668" i="2"/>
  <c r="T607" i="2"/>
  <c r="T562" i="2"/>
  <c r="T559" i="2"/>
  <c r="T554" i="2"/>
  <c r="T541" i="2"/>
  <c r="T533" i="2"/>
  <c r="T653" i="2"/>
  <c r="T586" i="2"/>
  <c r="T584" i="2"/>
  <c r="T566" i="2"/>
  <c r="T534" i="2"/>
  <c r="T638" i="2"/>
  <c r="T621" i="2"/>
  <c r="T616" i="2"/>
  <c r="T583" i="2"/>
  <c r="T582" i="2"/>
  <c r="T570" i="2"/>
  <c r="T556" i="2"/>
  <c r="T558" i="2"/>
  <c r="T544" i="2"/>
  <c r="T536" i="2"/>
  <c r="T619" i="2"/>
  <c r="T606" i="2"/>
  <c r="T600" i="2"/>
  <c r="T593" i="2"/>
  <c r="T575" i="2"/>
  <c r="T543" i="2"/>
  <c r="T537" i="2"/>
  <c r="T532" i="2"/>
  <c r="T517" i="2"/>
  <c r="T576" i="2"/>
  <c r="T567" i="2"/>
  <c r="T555" i="2"/>
  <c r="T535" i="2"/>
  <c r="T529" i="2"/>
  <c r="T527" i="2"/>
  <c r="T520" i="2"/>
  <c r="T514" i="2"/>
  <c r="T594" i="2"/>
  <c r="T548" i="2"/>
  <c r="T547" i="2"/>
  <c r="T546" i="2"/>
  <c r="T525" i="2"/>
  <c r="T518" i="2"/>
  <c r="T515" i="2"/>
  <c r="T577" i="2"/>
  <c r="T563" i="2"/>
  <c r="T551" i="2"/>
  <c r="T538" i="2"/>
  <c r="T528" i="2"/>
  <c r="T519" i="2"/>
  <c r="T510" i="2"/>
  <c r="T564" i="2"/>
  <c r="T531" i="2"/>
  <c r="T524" i="2"/>
  <c r="T509" i="2"/>
  <c r="T578" i="2"/>
  <c r="T508" i="2"/>
  <c r="T504" i="2"/>
  <c r="T502" i="2"/>
  <c r="T500" i="2"/>
  <c r="T498" i="2"/>
  <c r="T496" i="2"/>
  <c r="T494" i="2"/>
  <c r="T598" i="2"/>
  <c r="T560" i="2"/>
  <c r="T550" i="2"/>
  <c r="T539" i="2"/>
  <c r="T521" i="2"/>
  <c r="T513" i="2"/>
  <c r="T506" i="2"/>
  <c r="T552" i="2"/>
  <c r="T512" i="2"/>
  <c r="T617" i="2"/>
  <c r="T530" i="2"/>
  <c r="T511" i="2"/>
  <c r="T505" i="2"/>
  <c r="T503" i="2"/>
  <c r="T501" i="2"/>
  <c r="T497" i="2"/>
  <c r="T495" i="2"/>
  <c r="T493" i="2"/>
  <c r="T545" i="2"/>
  <c r="T540" i="2"/>
  <c r="T523" i="2"/>
  <c r="T487" i="2"/>
  <c r="T479" i="2"/>
  <c r="T471" i="2"/>
  <c r="T463" i="2"/>
  <c r="T455" i="2"/>
  <c r="T447" i="2"/>
  <c r="T439" i="2"/>
  <c r="T431" i="2"/>
  <c r="T488" i="2"/>
  <c r="T480" i="2"/>
  <c r="T472" i="2"/>
  <c r="T464" i="2"/>
  <c r="T448" i="2"/>
  <c r="T489" i="2"/>
  <c r="T481" i="2"/>
  <c r="T473" i="2"/>
  <c r="T465" i="2"/>
  <c r="T457" i="2"/>
  <c r="T490" i="2"/>
  <c r="T482" i="2"/>
  <c r="T474" i="2"/>
  <c r="T466" i="2"/>
  <c r="T458" i="2"/>
  <c r="T450" i="2"/>
  <c r="T442" i="2"/>
  <c r="T434" i="2"/>
  <c r="T426" i="2"/>
  <c r="T422" i="2"/>
  <c r="T420" i="2"/>
  <c r="T418" i="2"/>
  <c r="T416" i="2"/>
  <c r="T414" i="2"/>
  <c r="T412" i="2"/>
  <c r="T491" i="2"/>
  <c r="T483" i="2"/>
  <c r="T475" i="2"/>
  <c r="T467" i="2"/>
  <c r="T459" i="2"/>
  <c r="T451" i="2"/>
  <c r="T443" i="2"/>
  <c r="T435" i="2"/>
  <c r="T427" i="2"/>
  <c r="T516" i="2"/>
  <c r="T492" i="2"/>
  <c r="T476" i="2"/>
  <c r="T468" i="2"/>
  <c r="T460" i="2"/>
  <c r="T452" i="2"/>
  <c r="T485" i="2"/>
  <c r="T477" i="2"/>
  <c r="T469" i="2"/>
  <c r="T461" i="2"/>
  <c r="T453" i="2"/>
  <c r="T486" i="2"/>
  <c r="T478" i="2"/>
  <c r="T470" i="2"/>
  <c r="T462" i="2"/>
  <c r="T454" i="2"/>
  <c r="T446" i="2"/>
  <c r="T430" i="2"/>
  <c r="T425" i="2"/>
  <c r="T423" i="2"/>
  <c r="T421" i="2"/>
  <c r="T419" i="2"/>
  <c r="T417" i="2"/>
  <c r="T415" i="2"/>
  <c r="T411" i="2"/>
  <c r="T407" i="2"/>
  <c r="T405" i="2"/>
  <c r="T403" i="2"/>
  <c r="T401" i="2"/>
  <c r="T399" i="2"/>
  <c r="T395" i="2"/>
  <c r="T393" i="2"/>
  <c r="T391" i="2"/>
  <c r="T389" i="2"/>
  <c r="T387" i="2"/>
  <c r="T383" i="2"/>
  <c r="T381" i="2"/>
  <c r="T379" i="2"/>
  <c r="T377" i="2"/>
  <c r="T375" i="2"/>
  <c r="T373" i="2"/>
  <c r="T371" i="2"/>
  <c r="T369" i="2"/>
  <c r="T449" i="2"/>
  <c r="T445" i="2"/>
  <c r="T429" i="2"/>
  <c r="T406" i="2"/>
  <c r="T398" i="2"/>
  <c r="T390" i="2"/>
  <c r="T382" i="2"/>
  <c r="T374" i="2"/>
  <c r="T433" i="2"/>
  <c r="T408" i="2"/>
  <c r="T400" i="2"/>
  <c r="T392" i="2"/>
  <c r="T384" i="2"/>
  <c r="T376" i="2"/>
  <c r="T368" i="2"/>
  <c r="T436" i="2"/>
  <c r="T404" i="2"/>
  <c r="T394" i="2"/>
  <c r="T364" i="2"/>
  <c r="T356" i="2"/>
  <c r="T348" i="2"/>
  <c r="T440" i="2"/>
  <c r="T365" i="2"/>
  <c r="T357" i="2"/>
  <c r="T349" i="2"/>
  <c r="T437" i="2"/>
  <c r="T396" i="2"/>
  <c r="T386" i="2"/>
  <c r="T366" i="2"/>
  <c r="T358" i="2"/>
  <c r="T350" i="2"/>
  <c r="T444" i="2"/>
  <c r="T367" i="2"/>
  <c r="T441" i="2"/>
  <c r="T410" i="2"/>
  <c r="T388" i="2"/>
  <c r="T378" i="2"/>
  <c r="T360" i="2"/>
  <c r="T352" i="2"/>
  <c r="T428" i="2"/>
  <c r="T361" i="2"/>
  <c r="T353" i="2"/>
  <c r="T432" i="2"/>
  <c r="T402" i="2"/>
  <c r="T380" i="2"/>
  <c r="T370" i="2"/>
  <c r="T362" i="2"/>
  <c r="T354" i="2"/>
  <c r="T343" i="2"/>
  <c r="T334" i="2"/>
  <c r="T326" i="2"/>
  <c r="T318" i="2"/>
  <c r="T295" i="2"/>
  <c r="T293" i="2"/>
  <c r="T291" i="2"/>
  <c r="T289" i="2"/>
  <c r="T287" i="2"/>
  <c r="T285" i="2"/>
  <c r="T283" i="2"/>
  <c r="T281" i="2"/>
  <c r="T279" i="2"/>
  <c r="T277" i="2"/>
  <c r="T275" i="2"/>
  <c r="T273" i="2"/>
  <c r="T271" i="2"/>
  <c r="T269" i="2"/>
  <c r="T267" i="2"/>
  <c r="T265" i="2"/>
  <c r="T263" i="2"/>
  <c r="T261" i="2"/>
  <c r="T259" i="2"/>
  <c r="T257" i="2"/>
  <c r="T255" i="2"/>
  <c r="T253" i="2"/>
  <c r="T249" i="2"/>
  <c r="T247" i="2"/>
  <c r="T245" i="2"/>
  <c r="T346" i="2"/>
  <c r="T338" i="2"/>
  <c r="T327" i="2"/>
  <c r="T319" i="2"/>
  <c r="T311" i="2"/>
  <c r="T303" i="2"/>
  <c r="T341" i="2"/>
  <c r="T333" i="2"/>
  <c r="T328" i="2"/>
  <c r="T320" i="2"/>
  <c r="T312" i="2"/>
  <c r="T304" i="2"/>
  <c r="T344" i="2"/>
  <c r="T329" i="2"/>
  <c r="T321" i="2"/>
  <c r="T313" i="2"/>
  <c r="T305" i="2"/>
  <c r="T297" i="2"/>
  <c r="T351" i="2"/>
  <c r="T347" i="2"/>
  <c r="T339" i="2"/>
  <c r="T336" i="2"/>
  <c r="T332" i="2"/>
  <c r="T322" i="2"/>
  <c r="T314" i="2"/>
  <c r="T306" i="2"/>
  <c r="T298" i="2"/>
  <c r="T296" i="2"/>
  <c r="T294" i="2"/>
  <c r="T292" i="2"/>
  <c r="T290" i="2"/>
  <c r="T288" i="2"/>
  <c r="T286" i="2"/>
  <c r="T282" i="2"/>
  <c r="T280" i="2"/>
  <c r="T278" i="2"/>
  <c r="T276" i="2"/>
  <c r="T274" i="2"/>
  <c r="T272" i="2"/>
  <c r="T270" i="2"/>
  <c r="T268" i="2"/>
  <c r="T266" i="2"/>
  <c r="T264" i="2"/>
  <c r="T262" i="2"/>
  <c r="T260" i="2"/>
  <c r="T258" i="2"/>
  <c r="T256" i="2"/>
  <c r="T254" i="2"/>
  <c r="T252" i="2"/>
  <c r="T250" i="2"/>
  <c r="T248" i="2"/>
  <c r="T355" i="2"/>
  <c r="T342" i="2"/>
  <c r="T323" i="2"/>
  <c r="T307" i="2"/>
  <c r="T299" i="2"/>
  <c r="T359" i="2"/>
  <c r="T345" i="2"/>
  <c r="T337" i="2"/>
  <c r="T335" i="2"/>
  <c r="T331" i="2"/>
  <c r="T324" i="2"/>
  <c r="T316" i="2"/>
  <c r="T308" i="2"/>
  <c r="T300" i="2"/>
  <c r="T363" i="2"/>
  <c r="T340" i="2"/>
  <c r="T325" i="2"/>
  <c r="T317" i="2"/>
  <c r="T309" i="2"/>
  <c r="T301" i="2"/>
  <c r="T238" i="2"/>
  <c r="T230" i="2"/>
  <c r="T222" i="2"/>
  <c r="T214" i="2"/>
  <c r="T239" i="2"/>
  <c r="T231" i="2"/>
  <c r="T223" i="2"/>
  <c r="T215" i="2"/>
  <c r="T240" i="2"/>
  <c r="T232" i="2"/>
  <c r="T224" i="2"/>
  <c r="T216" i="2"/>
  <c r="T241" i="2"/>
  <c r="T233" i="2"/>
  <c r="T225" i="2"/>
  <c r="T217" i="2"/>
  <c r="T234" i="2"/>
  <c r="T226" i="2"/>
  <c r="T218" i="2"/>
  <c r="T243" i="2"/>
  <c r="T235" i="2"/>
  <c r="T227" i="2"/>
  <c r="T219" i="2"/>
  <c r="T244" i="2"/>
  <c r="T236" i="2"/>
  <c r="T228" i="2"/>
  <c r="T220" i="2"/>
  <c r="T237" i="2"/>
  <c r="T229" i="2"/>
  <c r="T221" i="2"/>
  <c r="T104" i="2"/>
  <c r="T102" i="2"/>
  <c r="T107" i="2"/>
  <c r="T105" i="2"/>
  <c r="T30" i="2"/>
  <c r="T28" i="2"/>
  <c r="T26" i="2"/>
  <c r="T103" i="2"/>
  <c r="T95" i="2"/>
  <c r="T106" i="2"/>
  <c r="T31" i="2"/>
  <c r="T29" i="2"/>
  <c r="H50" i="1"/>
  <c r="E51" i="1"/>
  <c r="M51" i="1"/>
  <c r="G53" i="1"/>
  <c r="D54" i="1"/>
  <c r="L54" i="1"/>
  <c r="I55" i="1"/>
  <c r="C57" i="1"/>
  <c r="K57" i="1"/>
  <c r="H58" i="1"/>
  <c r="E59" i="1"/>
  <c r="M59" i="1"/>
  <c r="G61" i="1"/>
  <c r="D62" i="1"/>
  <c r="L62" i="1"/>
  <c r="I63" i="1"/>
  <c r="C101" i="2"/>
  <c r="C85" i="2"/>
  <c r="K101" i="2"/>
  <c r="K85" i="2"/>
  <c r="S101" i="2"/>
  <c r="S85" i="2"/>
  <c r="U166" i="1"/>
  <c r="I167" i="1"/>
  <c r="U119" i="2"/>
  <c r="V168" i="2" s="1"/>
  <c r="M173" i="2"/>
  <c r="M58" i="2"/>
  <c r="Q127" i="2"/>
  <c r="L181" i="2"/>
  <c r="L130" i="2"/>
  <c r="L179" i="2" s="1"/>
  <c r="U133" i="2"/>
  <c r="V182" i="2" s="1"/>
  <c r="V188" i="1"/>
  <c r="I190" i="1"/>
  <c r="I166" i="1" s="1"/>
  <c r="T192" i="2"/>
  <c r="S192" i="2"/>
  <c r="U163" i="2"/>
  <c r="U212" i="2" s="1"/>
  <c r="I215" i="1"/>
  <c r="Q215" i="1"/>
  <c r="D269" i="1"/>
  <c r="L273" i="1"/>
  <c r="M118" i="2"/>
  <c r="T173" i="2"/>
  <c r="T58" i="2"/>
  <c r="D426" i="1"/>
  <c r="T426" i="1"/>
  <c r="L428" i="1"/>
  <c r="T428" i="1"/>
  <c r="T430" i="1"/>
  <c r="T429" i="1" s="1"/>
  <c r="P437" i="1"/>
  <c r="T438" i="1"/>
  <c r="P451" i="1"/>
  <c r="P446" i="1" s="1"/>
  <c r="E577" i="1"/>
  <c r="E213" i="2"/>
  <c r="M213" i="2"/>
  <c r="U213" i="2"/>
  <c r="I242" i="2"/>
  <c r="Q242" i="2"/>
  <c r="C251" i="2"/>
  <c r="K251" i="2"/>
  <c r="S251" i="2"/>
  <c r="F284" i="2"/>
  <c r="N284" i="2"/>
  <c r="V284" i="2"/>
  <c r="J302" i="2"/>
  <c r="R302" i="2"/>
  <c r="F310" i="2"/>
  <c r="N310" i="2"/>
  <c r="V310" i="2"/>
  <c r="J315" i="2"/>
  <c r="R315" i="2"/>
  <c r="F330" i="2"/>
  <c r="N330" i="2"/>
  <c r="V330" i="2"/>
  <c r="J372" i="2"/>
  <c r="R372" i="2"/>
  <c r="F385" i="2"/>
  <c r="N385" i="2"/>
  <c r="V385" i="2"/>
  <c r="I409" i="2"/>
  <c r="Q409" i="2"/>
  <c r="E413" i="2"/>
  <c r="M413" i="2"/>
  <c r="U413" i="2"/>
  <c r="I424" i="2"/>
  <c r="Q424" i="2"/>
  <c r="E438" i="2"/>
  <c r="M438" i="2"/>
  <c r="U438" i="2"/>
  <c r="I456" i="2"/>
  <c r="Q456" i="2"/>
  <c r="E484" i="2"/>
  <c r="M484" i="2"/>
  <c r="U484" i="2"/>
  <c r="I499" i="2"/>
  <c r="Q499" i="2"/>
  <c r="E507" i="2"/>
  <c r="M507" i="2"/>
  <c r="U507" i="2"/>
  <c r="I522" i="2"/>
  <c r="Q522" i="2"/>
  <c r="E526" i="2"/>
  <c r="M526" i="2"/>
  <c r="U526" i="2"/>
  <c r="I542" i="2"/>
  <c r="Q542" i="2"/>
  <c r="E561" i="2"/>
  <c r="M561" i="2"/>
  <c r="U561" i="2"/>
  <c r="I569" i="2"/>
  <c r="Q569" i="2"/>
  <c r="E581" i="2"/>
  <c r="M581" i="2"/>
  <c r="U581" i="2"/>
  <c r="I589" i="2"/>
  <c r="Q589" i="2"/>
  <c r="E602" i="2"/>
  <c r="M602" i="2"/>
  <c r="U602" i="2"/>
  <c r="I625" i="2"/>
  <c r="Q625" i="2"/>
  <c r="E678" i="2"/>
  <c r="M678" i="2"/>
  <c r="U678" i="2"/>
  <c r="T689" i="2"/>
  <c r="P54" i="2"/>
  <c r="N60" i="2"/>
  <c r="N68" i="2"/>
  <c r="F115" i="2"/>
  <c r="F168" i="2"/>
  <c r="R169" i="2"/>
  <c r="F170" i="2"/>
  <c r="N170" i="2"/>
  <c r="J171" i="2"/>
  <c r="R171" i="2"/>
  <c r="F172" i="2"/>
  <c r="N172" i="2"/>
  <c r="K173" i="2"/>
  <c r="S173" i="2"/>
  <c r="H176" i="2"/>
  <c r="P176" i="2"/>
  <c r="D177" i="2"/>
  <c r="L177" i="2"/>
  <c r="T177" i="2"/>
  <c r="N130" i="2"/>
  <c r="N179" i="2" s="1"/>
  <c r="K181" i="2"/>
  <c r="T181" i="2"/>
  <c r="S182" i="2"/>
  <c r="I134" i="2"/>
  <c r="I183" i="2" s="1"/>
  <c r="Q134" i="2"/>
  <c r="Q183" i="2" s="1"/>
  <c r="G184" i="2"/>
  <c r="O184" i="2"/>
  <c r="S188" i="2"/>
  <c r="K190" i="2"/>
  <c r="U190" i="2"/>
  <c r="R191" i="2"/>
  <c r="H192" i="2"/>
  <c r="G192" i="2"/>
  <c r="O192" i="2"/>
  <c r="S193" i="2"/>
  <c r="H194" i="2"/>
  <c r="G194" i="2"/>
  <c r="P194" i="2"/>
  <c r="O194" i="2"/>
  <c r="K195" i="2"/>
  <c r="T195" i="2"/>
  <c r="S195" i="2"/>
  <c r="G196" i="2"/>
  <c r="H196" i="2"/>
  <c r="O196" i="2"/>
  <c r="K197" i="2"/>
  <c r="L197" i="2"/>
  <c r="S197" i="2"/>
  <c r="T197" i="2"/>
  <c r="G198" i="2"/>
  <c r="C150" i="2"/>
  <c r="L199" i="2"/>
  <c r="K199" i="2"/>
  <c r="Q204" i="2"/>
  <c r="J206" i="2"/>
  <c r="J209" i="2"/>
  <c r="R209" i="2"/>
  <c r="F210" i="2"/>
  <c r="N210" i="2"/>
  <c r="F213" i="2"/>
  <c r="N213" i="2"/>
  <c r="V213" i="2"/>
  <c r="J242" i="2"/>
  <c r="R242" i="2"/>
  <c r="D251" i="2"/>
  <c r="L251" i="2"/>
  <c r="T251" i="2"/>
  <c r="G284" i="2"/>
  <c r="O284" i="2"/>
  <c r="C302" i="2"/>
  <c r="K302" i="2"/>
  <c r="S302" i="2"/>
  <c r="G310" i="2"/>
  <c r="O310" i="2"/>
  <c r="C315" i="2"/>
  <c r="K315" i="2"/>
  <c r="S315" i="2"/>
  <c r="G330" i="2"/>
  <c r="O330" i="2"/>
  <c r="C372" i="2"/>
  <c r="K372" i="2"/>
  <c r="S372" i="2"/>
  <c r="G385" i="2"/>
  <c r="O385" i="2"/>
  <c r="T397" i="2"/>
  <c r="J409" i="2"/>
  <c r="R409" i="2"/>
  <c r="F413" i="2"/>
  <c r="N413" i="2"/>
  <c r="V413" i="2"/>
  <c r="J424" i="2"/>
  <c r="R424" i="2"/>
  <c r="F438" i="2"/>
  <c r="N438" i="2"/>
  <c r="V438" i="2"/>
  <c r="J456" i="2"/>
  <c r="R456" i="2"/>
  <c r="F484" i="2"/>
  <c r="N484" i="2"/>
  <c r="V484" i="2"/>
  <c r="J499" i="2"/>
  <c r="R499" i="2"/>
  <c r="F507" i="2"/>
  <c r="N507" i="2"/>
  <c r="V507" i="2"/>
  <c r="J522" i="2"/>
  <c r="R522" i="2"/>
  <c r="F526" i="2"/>
  <c r="N526" i="2"/>
  <c r="V526" i="2"/>
  <c r="J542" i="2"/>
  <c r="R542" i="2"/>
  <c r="F561" i="2"/>
  <c r="N561" i="2"/>
  <c r="V561" i="2"/>
  <c r="J569" i="2"/>
  <c r="R569" i="2"/>
  <c r="F581" i="2"/>
  <c r="N581" i="2"/>
  <c r="V581" i="2"/>
  <c r="J589" i="2"/>
  <c r="R589" i="2"/>
  <c r="F602" i="2"/>
  <c r="N602" i="2"/>
  <c r="V602" i="2"/>
  <c r="J625" i="2"/>
  <c r="R625" i="2"/>
  <c r="F678" i="2"/>
  <c r="N678" i="2"/>
  <c r="V678" i="2"/>
  <c r="U689" i="2"/>
  <c r="G115" i="2"/>
  <c r="G117" i="2"/>
  <c r="K118" i="2"/>
  <c r="S118" i="2"/>
  <c r="G168" i="2"/>
  <c r="S169" i="2"/>
  <c r="G170" i="2"/>
  <c r="O170" i="2"/>
  <c r="K171" i="2"/>
  <c r="S171" i="2"/>
  <c r="G172" i="2"/>
  <c r="O172" i="2"/>
  <c r="D173" i="2"/>
  <c r="L173" i="2"/>
  <c r="O130" i="2"/>
  <c r="N180" i="2"/>
  <c r="M181" i="2"/>
  <c r="J182" i="2"/>
  <c r="H184" i="2"/>
  <c r="P184" i="2"/>
  <c r="N185" i="2"/>
  <c r="J186" i="2"/>
  <c r="R186" i="2"/>
  <c r="T188" i="2"/>
  <c r="L190" i="2"/>
  <c r="J191" i="2"/>
  <c r="S191" i="2"/>
  <c r="P192" i="2"/>
  <c r="L195" i="2"/>
  <c r="R204" i="2"/>
  <c r="F205" i="2"/>
  <c r="N205" i="2"/>
  <c r="G213" i="2"/>
  <c r="O213" i="2"/>
  <c r="C242" i="2"/>
  <c r="K242" i="2"/>
  <c r="S242" i="2"/>
  <c r="E251" i="2"/>
  <c r="M251" i="2"/>
  <c r="U251" i="2"/>
  <c r="H284" i="2"/>
  <c r="P284" i="2"/>
  <c r="D302" i="2"/>
  <c r="L302" i="2"/>
  <c r="T302" i="2"/>
  <c r="H310" i="2"/>
  <c r="P310" i="2"/>
  <c r="D315" i="2"/>
  <c r="L315" i="2"/>
  <c r="T315" i="2"/>
  <c r="H330" i="2"/>
  <c r="P330" i="2"/>
  <c r="D372" i="2"/>
  <c r="L372" i="2"/>
  <c r="T372" i="2"/>
  <c r="H385" i="2"/>
  <c r="P385" i="2"/>
  <c r="C409" i="2"/>
  <c r="K409" i="2"/>
  <c r="S409" i="2"/>
  <c r="G413" i="2"/>
  <c r="O413" i="2"/>
  <c r="C424" i="2"/>
  <c r="K424" i="2"/>
  <c r="S424" i="2"/>
  <c r="G438" i="2"/>
  <c r="O438" i="2"/>
  <c r="C456" i="2"/>
  <c r="K456" i="2"/>
  <c r="S456" i="2"/>
  <c r="G484" i="2"/>
  <c r="O484" i="2"/>
  <c r="C499" i="2"/>
  <c r="K499" i="2"/>
  <c r="S499" i="2"/>
  <c r="G507" i="2"/>
  <c r="O507" i="2"/>
  <c r="C522" i="2"/>
  <c r="K522" i="2"/>
  <c r="S522" i="2"/>
  <c r="G526" i="2"/>
  <c r="O526" i="2"/>
  <c r="C542" i="2"/>
  <c r="K542" i="2"/>
  <c r="S542" i="2"/>
  <c r="G561" i="2"/>
  <c r="O561" i="2"/>
  <c r="C569" i="2"/>
  <c r="K569" i="2"/>
  <c r="S569" i="2"/>
  <c r="G581" i="2"/>
  <c r="O581" i="2"/>
  <c r="C589" i="2"/>
  <c r="K589" i="2"/>
  <c r="S589" i="2"/>
  <c r="G602" i="2"/>
  <c r="O602" i="2"/>
  <c r="C625" i="2"/>
  <c r="K625" i="2"/>
  <c r="S625" i="2"/>
  <c r="G678" i="2"/>
  <c r="O678" i="2"/>
  <c r="J689" i="2"/>
  <c r="D167" i="2"/>
  <c r="Q172" i="2"/>
  <c r="R174" i="2"/>
  <c r="R176" i="2"/>
  <c r="H179" i="2"/>
  <c r="G179" i="2"/>
  <c r="L183" i="2"/>
  <c r="K183" i="2"/>
  <c r="L186" i="2"/>
  <c r="K186" i="2"/>
  <c r="T186" i="2"/>
  <c r="S186" i="2"/>
  <c r="G187" i="2"/>
  <c r="O187" i="2"/>
  <c r="U191" i="2"/>
  <c r="E150" i="2"/>
  <c r="E199" i="2" s="1"/>
  <c r="M150" i="2"/>
  <c r="M199" i="2" s="1"/>
  <c r="H213" i="2"/>
  <c r="P213" i="2"/>
  <c r="D242" i="2"/>
  <c r="L242" i="2"/>
  <c r="F251" i="2"/>
  <c r="N251" i="2"/>
  <c r="I284" i="2"/>
  <c r="Q284" i="2"/>
  <c r="E302" i="2"/>
  <c r="M302" i="2"/>
  <c r="U302" i="2"/>
  <c r="I310" i="2"/>
  <c r="Q310" i="2"/>
  <c r="E315" i="2"/>
  <c r="M315" i="2"/>
  <c r="U315" i="2"/>
  <c r="I330" i="2"/>
  <c r="Q330" i="2"/>
  <c r="E372" i="2"/>
  <c r="M372" i="2"/>
  <c r="U372" i="2"/>
  <c r="I385" i="2"/>
  <c r="Q385" i="2"/>
  <c r="D409" i="2"/>
  <c r="L409" i="2"/>
  <c r="T409" i="2"/>
  <c r="H413" i="2"/>
  <c r="P413" i="2"/>
  <c r="D424" i="2"/>
  <c r="L424" i="2"/>
  <c r="T424" i="2"/>
  <c r="H438" i="2"/>
  <c r="P438" i="2"/>
  <c r="D456" i="2"/>
  <c r="L456" i="2"/>
  <c r="T456" i="2"/>
  <c r="H484" i="2"/>
  <c r="P484" i="2"/>
  <c r="D499" i="2"/>
  <c r="L499" i="2"/>
  <c r="T499" i="2"/>
  <c r="H507" i="2"/>
  <c r="P507" i="2"/>
  <c r="D522" i="2"/>
  <c r="L522" i="2"/>
  <c r="T522" i="2"/>
  <c r="H526" i="2"/>
  <c r="P526" i="2"/>
  <c r="D542" i="2"/>
  <c r="L542" i="2"/>
  <c r="T542" i="2"/>
  <c r="H561" i="2"/>
  <c r="P561" i="2"/>
  <c r="D569" i="2"/>
  <c r="L569" i="2"/>
  <c r="T569" i="2"/>
  <c r="H581" i="2"/>
  <c r="P581" i="2"/>
  <c r="D589" i="2"/>
  <c r="L589" i="2"/>
  <c r="T589" i="2"/>
  <c r="H602" i="2"/>
  <c r="P602" i="2"/>
  <c r="D625" i="2"/>
  <c r="L625" i="2"/>
  <c r="T625" i="2"/>
  <c r="H678" i="2"/>
  <c r="P678" i="2"/>
  <c r="L689" i="2"/>
  <c r="E167" i="2"/>
  <c r="I168" i="2"/>
  <c r="Q168" i="2"/>
  <c r="U169" i="2"/>
  <c r="I170" i="2"/>
  <c r="Q170" i="2"/>
  <c r="E171" i="2"/>
  <c r="R172" i="2"/>
  <c r="F173" i="2"/>
  <c r="N173" i="2"/>
  <c r="L174" i="2"/>
  <c r="K174" i="2"/>
  <c r="T174" i="2"/>
  <c r="S174" i="2"/>
  <c r="H175" i="2"/>
  <c r="G175" i="2"/>
  <c r="P175" i="2"/>
  <c r="O175" i="2"/>
  <c r="K176" i="2"/>
  <c r="S176" i="2"/>
  <c r="G177" i="2"/>
  <c r="O177" i="2"/>
  <c r="L178" i="2"/>
  <c r="K178" i="2"/>
  <c r="R130" i="2"/>
  <c r="R179" i="2" s="1"/>
  <c r="H180" i="2"/>
  <c r="P180" i="2"/>
  <c r="F181" i="2"/>
  <c r="O181" i="2"/>
  <c r="M182" i="2"/>
  <c r="J184" i="2"/>
  <c r="R184" i="2"/>
  <c r="H185" i="2"/>
  <c r="P185" i="2"/>
  <c r="Q187" i="2"/>
  <c r="N193" i="2"/>
  <c r="F199" i="2"/>
  <c r="N199" i="2"/>
  <c r="Q205" i="2"/>
  <c r="I213" i="2"/>
  <c r="Q213" i="2"/>
  <c r="E242" i="2"/>
  <c r="M242" i="2"/>
  <c r="G251" i="2"/>
  <c r="O251" i="2"/>
  <c r="V279" i="2"/>
  <c r="J284" i="2"/>
  <c r="R284" i="2"/>
  <c r="F302" i="2"/>
  <c r="N302" i="2"/>
  <c r="V302" i="2"/>
  <c r="J310" i="2"/>
  <c r="R310" i="2"/>
  <c r="F315" i="2"/>
  <c r="N315" i="2"/>
  <c r="V315" i="2"/>
  <c r="J330" i="2"/>
  <c r="R330" i="2"/>
  <c r="F372" i="2"/>
  <c r="N372" i="2"/>
  <c r="V372" i="2"/>
  <c r="J385" i="2"/>
  <c r="R385" i="2"/>
  <c r="E409" i="2"/>
  <c r="M409" i="2"/>
  <c r="U409" i="2"/>
  <c r="I413" i="2"/>
  <c r="Q413" i="2"/>
  <c r="E424" i="2"/>
  <c r="M424" i="2"/>
  <c r="U424" i="2"/>
  <c r="I438" i="2"/>
  <c r="Q438" i="2"/>
  <c r="E456" i="2"/>
  <c r="M456" i="2"/>
  <c r="U456" i="2"/>
  <c r="I484" i="2"/>
  <c r="Q484" i="2"/>
  <c r="E499" i="2"/>
  <c r="M499" i="2"/>
  <c r="U499" i="2"/>
  <c r="I507" i="2"/>
  <c r="Q507" i="2"/>
  <c r="E522" i="2"/>
  <c r="M522" i="2"/>
  <c r="U522" i="2"/>
  <c r="I526" i="2"/>
  <c r="Q526" i="2"/>
  <c r="E542" i="2"/>
  <c r="M542" i="2"/>
  <c r="U542" i="2"/>
  <c r="I561" i="2"/>
  <c r="Q561" i="2"/>
  <c r="E569" i="2"/>
  <c r="M569" i="2"/>
  <c r="U569" i="2"/>
  <c r="I581" i="2"/>
  <c r="Q581" i="2"/>
  <c r="E589" i="2"/>
  <c r="M589" i="2"/>
  <c r="U589" i="2"/>
  <c r="I602" i="2"/>
  <c r="Q602" i="2"/>
  <c r="E625" i="2"/>
  <c r="M625" i="2"/>
  <c r="U625" i="2"/>
  <c r="I678" i="2"/>
  <c r="Q678" i="2"/>
  <c r="M689" i="2"/>
  <c r="F167" i="2"/>
  <c r="J168" i="2"/>
  <c r="R168" i="2"/>
  <c r="V169" i="2"/>
  <c r="J170" i="2"/>
  <c r="R170" i="2"/>
  <c r="F171" i="2"/>
  <c r="N171" i="2"/>
  <c r="J172" i="2"/>
  <c r="S172" i="2"/>
  <c r="G173" i="2"/>
  <c r="O173" i="2"/>
  <c r="D174" i="2"/>
  <c r="D176" i="2"/>
  <c r="L176" i="2"/>
  <c r="T176" i="2"/>
  <c r="H177" i="2"/>
  <c r="P177" i="2"/>
  <c r="S130" i="2"/>
  <c r="G181" i="2"/>
  <c r="P181" i="2"/>
  <c r="N182" i="2"/>
  <c r="M134" i="2"/>
  <c r="M183" i="2" s="1"/>
  <c r="K184" i="2"/>
  <c r="S184" i="2"/>
  <c r="R138" i="2"/>
  <c r="S189" i="2"/>
  <c r="G190" i="2"/>
  <c r="H190" i="2"/>
  <c r="O190" i="2"/>
  <c r="L192" i="2"/>
  <c r="K192" i="2"/>
  <c r="O193" i="2"/>
  <c r="L194" i="2"/>
  <c r="K194" i="2"/>
  <c r="S194" i="2"/>
  <c r="H195" i="2"/>
  <c r="G195" i="2"/>
  <c r="P195" i="2"/>
  <c r="O195" i="2"/>
  <c r="K196" i="2"/>
  <c r="L196" i="2"/>
  <c r="G197" i="2"/>
  <c r="O197" i="2"/>
  <c r="P197" i="2"/>
  <c r="K198" i="2"/>
  <c r="H199" i="2"/>
  <c r="G199" i="2"/>
  <c r="O199" i="2"/>
  <c r="F206" i="2"/>
  <c r="N206" i="2"/>
  <c r="R207" i="2"/>
  <c r="F209" i="2"/>
  <c r="N209" i="2"/>
  <c r="J210" i="2"/>
  <c r="R210" i="2"/>
  <c r="J213" i="2"/>
  <c r="R213" i="2"/>
  <c r="F242" i="2"/>
  <c r="N242" i="2"/>
  <c r="V242" i="2"/>
  <c r="H251" i="2"/>
  <c r="P251" i="2"/>
  <c r="C284" i="2"/>
  <c r="K284" i="2"/>
  <c r="S284" i="2"/>
  <c r="G302" i="2"/>
  <c r="O302" i="2"/>
  <c r="C310" i="2"/>
  <c r="K310" i="2"/>
  <c r="S310" i="2"/>
  <c r="G315" i="2"/>
  <c r="O315" i="2"/>
  <c r="C330" i="2"/>
  <c r="K330" i="2"/>
  <c r="S330" i="2"/>
  <c r="G372" i="2"/>
  <c r="O372" i="2"/>
  <c r="C385" i="2"/>
  <c r="K385" i="2"/>
  <c r="S385" i="2"/>
  <c r="F409" i="2"/>
  <c r="N409" i="2"/>
  <c r="V409" i="2"/>
  <c r="J413" i="2"/>
  <c r="R413" i="2"/>
  <c r="F424" i="2"/>
  <c r="N424" i="2"/>
  <c r="V424" i="2"/>
  <c r="J438" i="2"/>
  <c r="R438" i="2"/>
  <c r="F456" i="2"/>
  <c r="N456" i="2"/>
  <c r="V456" i="2"/>
  <c r="J484" i="2"/>
  <c r="R484" i="2"/>
  <c r="F499" i="2"/>
  <c r="N499" i="2"/>
  <c r="V499" i="2"/>
  <c r="J507" i="2"/>
  <c r="R507" i="2"/>
  <c r="F522" i="2"/>
  <c r="N522" i="2"/>
  <c r="V522" i="2"/>
  <c r="J526" i="2"/>
  <c r="R526" i="2"/>
  <c r="F542" i="2"/>
  <c r="N542" i="2"/>
  <c r="V542" i="2"/>
  <c r="J561" i="2"/>
  <c r="R561" i="2"/>
  <c r="F569" i="2"/>
  <c r="N569" i="2"/>
  <c r="V569" i="2"/>
  <c r="J581" i="2"/>
  <c r="R581" i="2"/>
  <c r="F589" i="2"/>
  <c r="N589" i="2"/>
  <c r="V589" i="2"/>
  <c r="J602" i="2"/>
  <c r="R602" i="2"/>
  <c r="F625" i="2"/>
  <c r="N625" i="2"/>
  <c r="V625" i="2"/>
  <c r="J678" i="2"/>
  <c r="R678" i="2"/>
  <c r="N689" i="2"/>
  <c r="O169" i="2"/>
  <c r="J180" i="2"/>
  <c r="R180" i="2"/>
  <c r="H181" i="2"/>
  <c r="O182" i="2"/>
  <c r="L184" i="2"/>
  <c r="U184" i="2"/>
  <c r="J185" i="2"/>
  <c r="R185" i="2"/>
  <c r="F186" i="2"/>
  <c r="N186" i="2"/>
  <c r="S138" i="2"/>
  <c r="P188" i="2"/>
  <c r="T189" i="2"/>
  <c r="Q190" i="2"/>
  <c r="F191" i="2"/>
  <c r="N191" i="2"/>
  <c r="D192" i="2"/>
  <c r="D194" i="2"/>
  <c r="T194" i="2"/>
  <c r="D196" i="2"/>
  <c r="H197" i="2"/>
  <c r="J205" i="2"/>
  <c r="O209" i="2"/>
  <c r="C213" i="2"/>
  <c r="K213" i="2"/>
  <c r="S213" i="2"/>
  <c r="G242" i="2"/>
  <c r="O242" i="2"/>
  <c r="T246" i="2"/>
  <c r="I251" i="2"/>
  <c r="Q251" i="2"/>
  <c r="D284" i="2"/>
  <c r="L284" i="2"/>
  <c r="T284" i="2"/>
  <c r="H302" i="2"/>
  <c r="P302" i="2"/>
  <c r="D310" i="2"/>
  <c r="L310" i="2"/>
  <c r="T310" i="2"/>
  <c r="H315" i="2"/>
  <c r="P315" i="2"/>
  <c r="D330" i="2"/>
  <c r="L330" i="2"/>
  <c r="T330" i="2"/>
  <c r="H372" i="2"/>
  <c r="P372" i="2"/>
  <c r="D385" i="2"/>
  <c r="L385" i="2"/>
  <c r="T385" i="2"/>
  <c r="G409" i="2"/>
  <c r="O409" i="2"/>
  <c r="C413" i="2"/>
  <c r="K413" i="2"/>
  <c r="S413" i="2"/>
  <c r="G424" i="2"/>
  <c r="O424" i="2"/>
  <c r="C438" i="2"/>
  <c r="K438" i="2"/>
  <c r="S438" i="2"/>
  <c r="G456" i="2"/>
  <c r="O456" i="2"/>
  <c r="C484" i="2"/>
  <c r="K484" i="2"/>
  <c r="S484" i="2"/>
  <c r="G499" i="2"/>
  <c r="O499" i="2"/>
  <c r="C507" i="2"/>
  <c r="K507" i="2"/>
  <c r="S507" i="2"/>
  <c r="G522" i="2"/>
  <c r="O522" i="2"/>
  <c r="C526" i="2"/>
  <c r="K526" i="2"/>
  <c r="S526" i="2"/>
  <c r="G542" i="2"/>
  <c r="O542" i="2"/>
  <c r="C561" i="2"/>
  <c r="K561" i="2"/>
  <c r="S561" i="2"/>
  <c r="G569" i="2"/>
  <c r="O569" i="2"/>
  <c r="C581" i="2"/>
  <c r="K581" i="2"/>
  <c r="S581" i="2"/>
  <c r="G589" i="2"/>
  <c r="O589" i="2"/>
  <c r="C602" i="2"/>
  <c r="K602" i="2"/>
  <c r="S602" i="2"/>
  <c r="G625" i="2"/>
  <c r="O625" i="2"/>
  <c r="C678" i="2"/>
  <c r="K678" i="2"/>
  <c r="S678" i="2"/>
  <c r="R689" i="2"/>
  <c r="R175" i="2"/>
  <c r="K179" i="2"/>
  <c r="H182" i="2"/>
  <c r="G182" i="2"/>
  <c r="Q182" i="2"/>
  <c r="H183" i="2"/>
  <c r="G183" i="2"/>
  <c r="P183" i="2"/>
  <c r="O183" i="2"/>
  <c r="E184" i="2"/>
  <c r="H186" i="2"/>
  <c r="G186" i="2"/>
  <c r="P186" i="2"/>
  <c r="O186" i="2"/>
  <c r="K187" i="2"/>
  <c r="R150" i="2"/>
  <c r="R199" i="2" s="1"/>
  <c r="F200" i="2"/>
  <c r="N200" i="2"/>
  <c r="R201" i="2"/>
  <c r="F202" i="2"/>
  <c r="N202" i="2"/>
  <c r="J203" i="2"/>
  <c r="R203" i="2"/>
  <c r="K205" i="2"/>
  <c r="D213" i="2"/>
  <c r="L213" i="2"/>
  <c r="T213" i="2"/>
  <c r="H242" i="2"/>
  <c r="P242" i="2"/>
  <c r="U246" i="2"/>
  <c r="J251" i="2"/>
  <c r="R251" i="2"/>
  <c r="E284" i="2"/>
  <c r="M284" i="2"/>
  <c r="U284" i="2"/>
  <c r="I302" i="2"/>
  <c r="Q302" i="2"/>
  <c r="E310" i="2"/>
  <c r="M310" i="2"/>
  <c r="U310" i="2"/>
  <c r="I315" i="2"/>
  <c r="Q315" i="2"/>
  <c r="E330" i="2"/>
  <c r="M330" i="2"/>
  <c r="U330" i="2"/>
  <c r="I372" i="2"/>
  <c r="Q372" i="2"/>
  <c r="E385" i="2"/>
  <c r="M385" i="2"/>
  <c r="U385" i="2"/>
  <c r="H409" i="2"/>
  <c r="P409" i="2"/>
  <c r="D413" i="2"/>
  <c r="L413" i="2"/>
  <c r="T413" i="2"/>
  <c r="H424" i="2"/>
  <c r="P424" i="2"/>
  <c r="D438" i="2"/>
  <c r="L438" i="2"/>
  <c r="T438" i="2"/>
  <c r="H456" i="2"/>
  <c r="P456" i="2"/>
  <c r="D484" i="2"/>
  <c r="L484" i="2"/>
  <c r="T484" i="2"/>
  <c r="H499" i="2"/>
  <c r="P499" i="2"/>
  <c r="D507" i="2"/>
  <c r="L507" i="2"/>
  <c r="T507" i="2"/>
  <c r="H522" i="2"/>
  <c r="P522" i="2"/>
  <c r="D526" i="2"/>
  <c r="L526" i="2"/>
  <c r="T526" i="2"/>
  <c r="H542" i="2"/>
  <c r="P542" i="2"/>
  <c r="D561" i="2"/>
  <c r="L561" i="2"/>
  <c r="T561" i="2"/>
  <c r="H569" i="2"/>
  <c r="P569" i="2"/>
  <c r="D581" i="2"/>
  <c r="L581" i="2"/>
  <c r="T581" i="2"/>
  <c r="H589" i="2"/>
  <c r="P589" i="2"/>
  <c r="D602" i="2"/>
  <c r="L602" i="2"/>
  <c r="T602" i="2"/>
  <c r="H625" i="2"/>
  <c r="P625" i="2"/>
  <c r="D678" i="2"/>
  <c r="L678" i="2"/>
  <c r="T678" i="2"/>
  <c r="S689" i="2"/>
  <c r="I167" i="2"/>
  <c r="E168" i="2"/>
  <c r="Q169" i="2"/>
  <c r="E170" i="2"/>
  <c r="M170" i="2"/>
  <c r="U170" i="2"/>
  <c r="I171" i="2"/>
  <c r="Q171" i="2"/>
  <c r="J173" i="2"/>
  <c r="H174" i="2"/>
  <c r="G174" i="2"/>
  <c r="P174" i="2"/>
  <c r="O174" i="2"/>
  <c r="L175" i="2"/>
  <c r="K175" i="2"/>
  <c r="T175" i="2"/>
  <c r="S175" i="2"/>
  <c r="G176" i="2"/>
  <c r="O176" i="2"/>
  <c r="K177" i="2"/>
  <c r="S177" i="2"/>
  <c r="H178" i="2"/>
  <c r="G178" i="2"/>
  <c r="P178" i="2"/>
  <c r="O178" i="2"/>
  <c r="M179" i="2"/>
  <c r="L180" i="2"/>
  <c r="U180" i="2"/>
  <c r="J181" i="2"/>
  <c r="S181" i="2"/>
  <c r="R182" i="2"/>
  <c r="F184" i="2"/>
  <c r="N184" i="2"/>
  <c r="L185" i="2"/>
  <c r="T185" i="2"/>
  <c r="J190" i="2"/>
  <c r="Q191" i="2"/>
  <c r="J199" i="2"/>
  <c r="T199" i="2"/>
  <c r="H187" i="2"/>
  <c r="H191" i="2"/>
  <c r="P193" i="2"/>
  <c r="D198" i="2"/>
  <c r="L198" i="2"/>
  <c r="P201" i="2"/>
  <c r="H205" i="2"/>
  <c r="O206" i="2"/>
  <c r="K202" i="2"/>
  <c r="G209" i="2"/>
  <c r="O203" i="2"/>
  <c r="G206" i="2"/>
  <c r="S209" i="2"/>
  <c r="G200" i="2"/>
  <c r="O200" i="2"/>
  <c r="K210" i="2"/>
  <c r="S210" i="2"/>
  <c r="L210" i="2"/>
  <c r="L187" i="2"/>
  <c r="D191" i="2"/>
  <c r="L191" i="2"/>
  <c r="T193" i="2"/>
  <c r="H198" i="2"/>
  <c r="L201" i="2"/>
  <c r="T201" i="2"/>
  <c r="D205" i="2"/>
  <c r="L205" i="2"/>
  <c r="O202" i="2"/>
  <c r="G203" i="2"/>
  <c r="S207" i="2"/>
  <c r="K209" i="2"/>
  <c r="S203" i="2"/>
  <c r="K206" i="2"/>
  <c r="P200" i="2"/>
  <c r="G202" i="2"/>
  <c r="K200" i="2"/>
  <c r="S200" i="2"/>
  <c r="S204" i="2"/>
  <c r="G210" i="2"/>
  <c r="O210" i="2"/>
  <c r="Q579" i="1" l="1"/>
  <c r="Q577" i="1"/>
  <c r="I579" i="1"/>
  <c r="I577" i="1"/>
  <c r="H167" i="2"/>
  <c r="H115" i="2"/>
  <c r="F578" i="1"/>
  <c r="S179" i="2"/>
  <c r="O179" i="2"/>
  <c r="H577" i="1"/>
  <c r="C1079" i="1"/>
  <c r="C37" i="2" s="1"/>
  <c r="C411" i="1"/>
  <c r="D116" i="2"/>
  <c r="E165" i="2" s="1"/>
  <c r="J1079" i="1"/>
  <c r="J37" i="2" s="1"/>
  <c r="J39" i="2" s="1"/>
  <c r="H117" i="2"/>
  <c r="H166" i="2" s="1"/>
  <c r="N462" i="1"/>
  <c r="N461" i="1" s="1"/>
  <c r="J462" i="1"/>
  <c r="J461" i="1" s="1"/>
  <c r="C1078" i="1"/>
  <c r="C36" i="2" s="1"/>
  <c r="P434" i="1"/>
  <c r="G1079" i="1"/>
  <c r="G37" i="2" s="1"/>
  <c r="G39" i="2" s="1"/>
  <c r="G40" i="2" s="1"/>
  <c r="S199" i="2"/>
  <c r="V579" i="1"/>
  <c r="V577" i="1"/>
  <c r="M411" i="1"/>
  <c r="M412" i="1"/>
  <c r="M410" i="1"/>
  <c r="I1077" i="1"/>
  <c r="I35" i="2" s="1"/>
  <c r="I1079" i="1"/>
  <c r="I37" i="2" s="1"/>
  <c r="S167" i="2"/>
  <c r="T425" i="1"/>
  <c r="I1078" i="1"/>
  <c r="I36" i="2" s="1"/>
  <c r="P167" i="2"/>
  <c r="L168" i="2"/>
  <c r="L48" i="2"/>
  <c r="L118" i="2"/>
  <c r="J183" i="2"/>
  <c r="L425" i="1"/>
  <c r="N167" i="2"/>
  <c r="N117" i="2"/>
  <c r="N115" i="2"/>
  <c r="O272" i="1"/>
  <c r="O270" i="1"/>
  <c r="O271" i="1"/>
  <c r="O269" i="1"/>
  <c r="V347" i="1"/>
  <c r="V345" i="1"/>
  <c r="V346" i="1"/>
  <c r="V344" i="1" s="1"/>
  <c r="S168" i="1"/>
  <c r="S166" i="1"/>
  <c r="S167" i="1"/>
  <c r="V178" i="2"/>
  <c r="V68" i="2"/>
  <c r="D134" i="2"/>
  <c r="D183" i="2" s="1"/>
  <c r="D184" i="2"/>
  <c r="S116" i="2"/>
  <c r="D425" i="1"/>
  <c r="E182" i="1"/>
  <c r="Q176" i="2"/>
  <c r="Q64" i="2"/>
  <c r="S412" i="1"/>
  <c r="S410" i="1"/>
  <c r="S1078" i="1" s="1"/>
  <c r="S36" i="2" s="1"/>
  <c r="S411" i="1"/>
  <c r="N574" i="1"/>
  <c r="N573" i="1"/>
  <c r="N560" i="1" s="1"/>
  <c r="Q412" i="1"/>
  <c r="Q410" i="1"/>
  <c r="Q411" i="1"/>
  <c r="V167" i="1"/>
  <c r="P204" i="2"/>
  <c r="P150" i="2"/>
  <c r="T179" i="2"/>
  <c r="T601" i="1"/>
  <c r="T602" i="1" a="1"/>
  <c r="T602" i="1" s="1"/>
  <c r="S462" i="1"/>
  <c r="S461" i="1" s="1"/>
  <c r="S463" i="1"/>
  <c r="T459" i="1" s="1"/>
  <c r="T116" i="2" s="1"/>
  <c r="T165" i="2" s="1"/>
  <c r="F461" i="1"/>
  <c r="R461" i="1"/>
  <c r="V170" i="2"/>
  <c r="V52" i="2"/>
  <c r="R187" i="2"/>
  <c r="R109" i="2"/>
  <c r="K38" i="2"/>
  <c r="K39" i="2"/>
  <c r="K40" i="2" s="1"/>
  <c r="F574" i="1"/>
  <c r="F573" i="1"/>
  <c r="F560" i="1" s="1"/>
  <c r="P182" i="2"/>
  <c r="P130" i="2"/>
  <c r="P117" i="2" s="1"/>
  <c r="P111" i="2"/>
  <c r="P70" i="2"/>
  <c r="F111" i="2"/>
  <c r="T579" i="1"/>
  <c r="T577" i="1"/>
  <c r="U130" i="2"/>
  <c r="U179" i="2" s="1"/>
  <c r="F1079" i="1"/>
  <c r="F37" i="2" s="1"/>
  <c r="P187" i="2"/>
  <c r="P109" i="2"/>
  <c r="I187" i="2"/>
  <c r="I109" i="2"/>
  <c r="V177" i="2"/>
  <c r="V66" i="2"/>
  <c r="D165" i="2"/>
  <c r="H1077" i="1"/>
  <c r="H35" i="2" s="1"/>
  <c r="D168" i="1"/>
  <c r="K167" i="2"/>
  <c r="K117" i="2"/>
  <c r="K166" i="2" s="1"/>
  <c r="K115" i="2"/>
  <c r="G110" i="2"/>
  <c r="G108" i="2"/>
  <c r="G164" i="2"/>
  <c r="F110" i="2"/>
  <c r="F108" i="2"/>
  <c r="M187" i="2"/>
  <c r="M109" i="2"/>
  <c r="P272" i="1"/>
  <c r="P270" i="1"/>
  <c r="P271" i="1"/>
  <c r="P116" i="2" s="1"/>
  <c r="P269" i="1"/>
  <c r="V131" i="2"/>
  <c r="V181" i="1"/>
  <c r="V426" i="1"/>
  <c r="V425" i="1" s="1"/>
  <c r="S185" i="2"/>
  <c r="S111" i="2"/>
  <c r="S70" i="2"/>
  <c r="S134" i="2"/>
  <c r="S183" i="2" s="1"/>
  <c r="F117" i="2"/>
  <c r="F272" i="1"/>
  <c r="F271" i="1"/>
  <c r="F116" i="2" s="1"/>
  <c r="F269" i="1"/>
  <c r="F1078" i="1" s="1"/>
  <c r="F36" i="2" s="1"/>
  <c r="R117" i="2"/>
  <c r="R115" i="2"/>
  <c r="H116" i="2"/>
  <c r="H165" i="2" s="1"/>
  <c r="V429" i="1"/>
  <c r="V172" i="2"/>
  <c r="V56" i="2"/>
  <c r="V116" i="2"/>
  <c r="V165" i="2" s="1"/>
  <c r="S187" i="2"/>
  <c r="S109" i="2"/>
  <c r="D199" i="2"/>
  <c r="C109" i="2"/>
  <c r="M167" i="2"/>
  <c r="M117" i="2"/>
  <c r="M115" i="2"/>
  <c r="U168" i="2"/>
  <c r="U48" i="2"/>
  <c r="U118" i="2"/>
  <c r="J38" i="2"/>
  <c r="T168" i="1"/>
  <c r="T166" i="1"/>
  <c r="E109" i="2"/>
  <c r="T413" i="1"/>
  <c r="Q174" i="2"/>
  <c r="Q118" i="2"/>
  <c r="R167" i="2" s="1"/>
  <c r="Q60" i="2"/>
  <c r="T167" i="2"/>
  <c r="T117" i="2"/>
  <c r="T115" i="2"/>
  <c r="S601" i="1"/>
  <c r="S602" i="1" a="1"/>
  <c r="S602" i="1" s="1"/>
  <c r="R412" i="1"/>
  <c r="R410" i="1"/>
  <c r="R411" i="1"/>
  <c r="N272" i="1"/>
  <c r="N270" i="1"/>
  <c r="N271" i="1"/>
  <c r="N269" i="1"/>
  <c r="Q462" i="1"/>
  <c r="Q461" i="1" s="1"/>
  <c r="Q463" i="1"/>
  <c r="R459" i="1" s="1"/>
  <c r="R116" i="2" s="1"/>
  <c r="R165" i="2" s="1"/>
  <c r="V174" i="2"/>
  <c r="V60" i="2"/>
  <c r="V210" i="2"/>
  <c r="V112" i="2"/>
  <c r="U411" i="1"/>
  <c r="U412" i="1"/>
  <c r="O461" i="1"/>
  <c r="V434" i="1"/>
  <c r="S74" i="2"/>
  <c r="S34" i="2"/>
  <c r="S73" i="2"/>
  <c r="S22" i="2"/>
  <c r="S20" i="2"/>
  <c r="S19" i="2"/>
  <c r="S17" i="2"/>
  <c r="S15" i="2"/>
  <c r="S13" i="2"/>
  <c r="S14" i="2" s="1"/>
  <c r="S5" i="2"/>
  <c r="S3" i="2"/>
  <c r="S75" i="2"/>
  <c r="S25" i="2"/>
  <c r="S18" i="2"/>
  <c r="S35" i="1"/>
  <c r="S76" i="2" s="1"/>
  <c r="C38" i="2"/>
  <c r="C39" i="2"/>
  <c r="C40" i="2" s="1"/>
  <c r="F187" i="2"/>
  <c r="F109" i="2"/>
  <c r="L168" i="1"/>
  <c r="L166" i="1"/>
  <c r="Q25" i="2"/>
  <c r="Q18" i="2"/>
  <c r="Q74" i="2"/>
  <c r="Q34" i="2"/>
  <c r="Q73" i="2"/>
  <c r="Q21" i="2"/>
  <c r="Q22" i="2"/>
  <c r="Q20" i="2"/>
  <c r="Q19" i="2"/>
  <c r="Q17" i="2"/>
  <c r="Q15" i="2"/>
  <c r="Q13" i="2"/>
  <c r="Q14" i="2" s="1"/>
  <c r="Q5" i="2"/>
  <c r="Q3" i="2"/>
  <c r="Q75" i="2"/>
  <c r="Q35" i="1"/>
  <c r="Q76" i="2" s="1"/>
  <c r="V153" i="2"/>
  <c r="V202" i="2" s="1"/>
  <c r="V449" i="1"/>
  <c r="P411" i="1"/>
  <c r="P412" i="1"/>
  <c r="P410" i="1"/>
  <c r="P1077" i="1" s="1"/>
  <c r="P35" i="2" s="1"/>
  <c r="M168" i="1"/>
  <c r="M166" i="1"/>
  <c r="M167" i="1"/>
  <c r="G38" i="2"/>
  <c r="S579" i="1"/>
  <c r="S577" i="1"/>
  <c r="V413" i="1"/>
  <c r="U173" i="2"/>
  <c r="U58" i="2"/>
  <c r="D179" i="2"/>
  <c r="V184" i="2"/>
  <c r="V134" i="2"/>
  <c r="V183" i="2" s="1"/>
  <c r="O116" i="2"/>
  <c r="V188" i="2"/>
  <c r="V138" i="2"/>
  <c r="V212" i="2"/>
  <c r="L271" i="1"/>
  <c r="L116" i="2" s="1"/>
  <c r="L165" i="2" s="1"/>
  <c r="L269" i="1"/>
  <c r="L272" i="1"/>
  <c r="L270" i="1"/>
  <c r="U182" i="2"/>
  <c r="U111" i="2"/>
  <c r="U70" i="2"/>
  <c r="I179" i="2"/>
  <c r="I117" i="2"/>
  <c r="I166" i="2" s="1"/>
  <c r="I115" i="2"/>
  <c r="C110" i="2"/>
  <c r="C108" i="2"/>
  <c r="V465" i="1"/>
  <c r="V432" i="1"/>
  <c r="J164" i="2"/>
  <c r="J110" i="2"/>
  <c r="J108" i="2"/>
  <c r="V203" i="1"/>
  <c r="U446" i="1"/>
  <c r="U410" i="1" s="1"/>
  <c r="O167" i="2"/>
  <c r="O117" i="2"/>
  <c r="O166" i="2" s="1"/>
  <c r="O115" i="2"/>
  <c r="H38" i="2"/>
  <c r="H39" i="2"/>
  <c r="H40" i="2" s="1"/>
  <c r="T434" i="1"/>
  <c r="T461" i="1" s="1"/>
  <c r="P1079" i="1"/>
  <c r="P37" i="2" s="1"/>
  <c r="N413" i="1"/>
  <c r="I462" i="1"/>
  <c r="I461" i="1" s="1"/>
  <c r="I463" i="1"/>
  <c r="J459" i="1" s="1"/>
  <c r="J116" i="2" s="1"/>
  <c r="J165" i="2" s="1"/>
  <c r="N577" i="1"/>
  <c r="N579" i="1"/>
  <c r="P461" i="1"/>
  <c r="E133" i="2"/>
  <c r="F182" i="2" s="1"/>
  <c r="E428" i="1"/>
  <c r="U165" i="2"/>
  <c r="N183" i="2"/>
  <c r="Q1078" i="1"/>
  <c r="Q36" i="2" s="1"/>
  <c r="Q175" i="2"/>
  <c r="Q62" i="2"/>
  <c r="U199" i="2"/>
  <c r="U109" i="2"/>
  <c r="R183" i="2"/>
  <c r="E136" i="2"/>
  <c r="E431" i="1"/>
  <c r="E429" i="1" s="1"/>
  <c r="E185" i="1"/>
  <c r="M1078" i="1"/>
  <c r="M36" i="2" s="1"/>
  <c r="T138" i="2"/>
  <c r="O411" i="1"/>
  <c r="O412" i="1"/>
  <c r="O410" i="1"/>
  <c r="S16" i="2"/>
  <c r="V152" i="2"/>
  <c r="V201" i="2" s="1"/>
  <c r="V448" i="1"/>
  <c r="V118" i="2"/>
  <c r="D429" i="1"/>
  <c r="D182" i="2"/>
  <c r="D111" i="2"/>
  <c r="V171" i="2"/>
  <c r="V54" i="2"/>
  <c r="N116" i="2"/>
  <c r="N165" i="2" s="1"/>
  <c r="V173" i="2"/>
  <c r="V58" i="2"/>
  <c r="J40" i="2" l="1"/>
  <c r="J46" i="2"/>
  <c r="P165" i="2"/>
  <c r="Q165" i="2"/>
  <c r="O1078" i="1"/>
  <c r="O36" i="2" s="1"/>
  <c r="K46" i="2"/>
  <c r="S115" i="2"/>
  <c r="T164" i="2" s="1"/>
  <c r="S117" i="2"/>
  <c r="F579" i="1"/>
  <c r="F577" i="1"/>
  <c r="J166" i="2"/>
  <c r="H108" i="2"/>
  <c r="H164" i="2"/>
  <c r="H110" i="2"/>
  <c r="U461" i="1"/>
  <c r="P115" i="2"/>
  <c r="T166" i="2"/>
  <c r="C42" i="2"/>
  <c r="C46" i="2"/>
  <c r="C43" i="2"/>
  <c r="K43" i="2"/>
  <c r="C41" i="2"/>
  <c r="T183" i="2"/>
  <c r="C44" i="2"/>
  <c r="U1077" i="1"/>
  <c r="U35" i="2" s="1"/>
  <c r="U1079" i="1"/>
  <c r="U37" i="2" s="1"/>
  <c r="U1078" i="1"/>
  <c r="U36" i="2" s="1"/>
  <c r="F165" i="2"/>
  <c r="G165" i="2"/>
  <c r="I164" i="2"/>
  <c r="I110" i="2"/>
  <c r="I108" i="2"/>
  <c r="I38" i="2"/>
  <c r="I39" i="2"/>
  <c r="H42" i="2"/>
  <c r="E182" i="2"/>
  <c r="E111" i="2"/>
  <c r="P38" i="2"/>
  <c r="P39" i="2"/>
  <c r="V463" i="1"/>
  <c r="V462" i="1"/>
  <c r="D115" i="2"/>
  <c r="P1078" i="1"/>
  <c r="P36" i="2" s="1"/>
  <c r="J43" i="2"/>
  <c r="P179" i="2"/>
  <c r="Q179" i="2"/>
  <c r="V168" i="1"/>
  <c r="S165" i="2"/>
  <c r="L167" i="2"/>
  <c r="L117" i="2"/>
  <c r="L166" i="2" s="1"/>
  <c r="L115" i="2"/>
  <c r="M164" i="2" s="1"/>
  <c r="K42" i="2"/>
  <c r="O110" i="2"/>
  <c r="O108" i="2"/>
  <c r="O164" i="2"/>
  <c r="T110" i="2"/>
  <c r="T108" i="2"/>
  <c r="H46" i="2"/>
  <c r="R1077" i="1"/>
  <c r="R35" i="2" s="1"/>
  <c r="R1078" i="1"/>
  <c r="R36" i="2" s="1"/>
  <c r="R1079" i="1"/>
  <c r="R37" i="2" s="1"/>
  <c r="V180" i="2"/>
  <c r="V130" i="2"/>
  <c r="V179" i="2" s="1"/>
  <c r="M165" i="2"/>
  <c r="K44" i="2"/>
  <c r="T187" i="2"/>
  <c r="T109" i="2"/>
  <c r="U187" i="2"/>
  <c r="V151" i="2"/>
  <c r="V447" i="1"/>
  <c r="V446" i="1" s="1"/>
  <c r="V202" i="1"/>
  <c r="V166" i="1" s="1"/>
  <c r="K41" i="2"/>
  <c r="D117" i="2"/>
  <c r="D166" i="2" s="1"/>
  <c r="G46" i="2"/>
  <c r="U167" i="2"/>
  <c r="U117" i="2"/>
  <c r="U166" i="2" s="1"/>
  <c r="U115" i="2"/>
  <c r="R110" i="2"/>
  <c r="R108" i="2"/>
  <c r="J44" i="2"/>
  <c r="G43" i="2"/>
  <c r="G166" i="2"/>
  <c r="I165" i="2"/>
  <c r="N110" i="2"/>
  <c r="N108" i="2"/>
  <c r="N164" i="2"/>
  <c r="M1077" i="1"/>
  <c r="M35" i="2" s="1"/>
  <c r="M1079" i="1"/>
  <c r="M37" i="2" s="1"/>
  <c r="K164" i="2"/>
  <c r="K110" i="2"/>
  <c r="K108" i="2"/>
  <c r="G44" i="2"/>
  <c r="E131" i="2"/>
  <c r="E181" i="1"/>
  <c r="E167" i="1"/>
  <c r="E426" i="1"/>
  <c r="E425" i="1" s="1"/>
  <c r="N166" i="2"/>
  <c r="G41" i="2"/>
  <c r="D412" i="1"/>
  <c r="D410" i="1"/>
  <c r="D411" i="1"/>
  <c r="P164" i="2"/>
  <c r="P110" i="2"/>
  <c r="P108" i="2"/>
  <c r="S164" i="2"/>
  <c r="S110" i="2"/>
  <c r="S108" i="2"/>
  <c r="Q167" i="2"/>
  <c r="Q117" i="2"/>
  <c r="Q166" i="2" s="1"/>
  <c r="Q115" i="2"/>
  <c r="R164" i="2" s="1"/>
  <c r="O165" i="2"/>
  <c r="H43" i="2"/>
  <c r="M110" i="2"/>
  <c r="M108" i="2"/>
  <c r="F39" i="2"/>
  <c r="F38" i="2"/>
  <c r="J41" i="2"/>
  <c r="G42" i="2"/>
  <c r="Q1077" i="1"/>
  <c r="Q35" i="2" s="1"/>
  <c r="Q1079" i="1"/>
  <c r="Q37" i="2" s="1"/>
  <c r="S1077" i="1"/>
  <c r="S35" i="2" s="1"/>
  <c r="S1079" i="1"/>
  <c r="S37" i="2" s="1"/>
  <c r="L411" i="1"/>
  <c r="L412" i="1"/>
  <c r="L410" i="1"/>
  <c r="P166" i="2"/>
  <c r="S166" i="2"/>
  <c r="V187" i="2"/>
  <c r="T412" i="1"/>
  <c r="T410" i="1"/>
  <c r="T411" i="1"/>
  <c r="J42" i="2"/>
  <c r="P199" i="2"/>
  <c r="Q199" i="2"/>
  <c r="V167" i="2"/>
  <c r="K165" i="2"/>
  <c r="N411" i="1"/>
  <c r="N412" i="1"/>
  <c r="N410" i="1"/>
  <c r="N1078" i="1"/>
  <c r="N36" i="2" s="1"/>
  <c r="E185" i="2"/>
  <c r="F185" i="2"/>
  <c r="E134" i="2"/>
  <c r="H44" i="2"/>
  <c r="O1077" i="1"/>
  <c r="O35" i="2" s="1"/>
  <c r="O1079" i="1"/>
  <c r="O37" i="2" s="1"/>
  <c r="V411" i="1"/>
  <c r="V412" i="1"/>
  <c r="V410" i="1"/>
  <c r="V1077" i="1" s="1"/>
  <c r="V35" i="2" s="1"/>
  <c r="H41" i="2"/>
  <c r="M166" i="2" l="1"/>
  <c r="V1079" i="1"/>
  <c r="V37" i="2" s="1"/>
  <c r="V39" i="2" s="1"/>
  <c r="U39" i="2"/>
  <c r="U38" i="2"/>
  <c r="Q38" i="2"/>
  <c r="Q39" i="2"/>
  <c r="E180" i="2"/>
  <c r="E130" i="2"/>
  <c r="F180" i="2"/>
  <c r="L164" i="2"/>
  <c r="L110" i="2"/>
  <c r="L108" i="2"/>
  <c r="N1077" i="1"/>
  <c r="N35" i="2" s="1"/>
  <c r="N1079" i="1"/>
  <c r="N37" i="2" s="1"/>
  <c r="D164" i="2"/>
  <c r="D110" i="2"/>
  <c r="D108" i="2"/>
  <c r="E168" i="1"/>
  <c r="E166" i="1"/>
  <c r="O39" i="2"/>
  <c r="O38" i="2"/>
  <c r="U164" i="2"/>
  <c r="U110" i="2"/>
  <c r="U108" i="2"/>
  <c r="V200" i="2"/>
  <c r="V150" i="2"/>
  <c r="R38" i="2"/>
  <c r="R39" i="2"/>
  <c r="V461" i="1"/>
  <c r="I40" i="2"/>
  <c r="I46" i="2"/>
  <c r="I44" i="2"/>
  <c r="I42" i="2"/>
  <c r="I41" i="2"/>
  <c r="I43" i="2"/>
  <c r="L1077" i="1"/>
  <c r="L35" i="2" s="1"/>
  <c r="L1079" i="1"/>
  <c r="L37" i="2" s="1"/>
  <c r="P40" i="2"/>
  <c r="P42" i="2"/>
  <c r="P44" i="2"/>
  <c r="P43" i="2"/>
  <c r="P46" i="2"/>
  <c r="P41" i="2"/>
  <c r="P45" i="2"/>
  <c r="V115" i="2"/>
  <c r="T1077" i="1"/>
  <c r="T35" i="2" s="1"/>
  <c r="T1079" i="1"/>
  <c r="T37" i="2" s="1"/>
  <c r="T1078" i="1"/>
  <c r="T36" i="2" s="1"/>
  <c r="F46" i="2"/>
  <c r="F40" i="2"/>
  <c r="F44" i="2"/>
  <c r="F42" i="2"/>
  <c r="F41" i="2"/>
  <c r="F43" i="2"/>
  <c r="Q164" i="2"/>
  <c r="Q110" i="2"/>
  <c r="Q108" i="2"/>
  <c r="E411" i="1"/>
  <c r="E412" i="1"/>
  <c r="E410" i="1"/>
  <c r="R166" i="2"/>
  <c r="V1078" i="1"/>
  <c r="V36" i="2" s="1"/>
  <c r="D1077" i="1"/>
  <c r="D35" i="2" s="1"/>
  <c r="D1079" i="1"/>
  <c r="D37" i="2" s="1"/>
  <c r="D1078" i="1"/>
  <c r="D36" i="2" s="1"/>
  <c r="E183" i="2"/>
  <c r="F183" i="2"/>
  <c r="V117" i="2"/>
  <c r="V166" i="2" s="1"/>
  <c r="S38" i="2"/>
  <c r="S39" i="2"/>
  <c r="M39" i="2"/>
  <c r="M38" i="2"/>
  <c r="L1078" i="1"/>
  <c r="L36" i="2" s="1"/>
  <c r="V38" i="2" l="1"/>
  <c r="D39" i="2"/>
  <c r="D38" i="2"/>
  <c r="E179" i="2"/>
  <c r="E117" i="2"/>
  <c r="E115" i="2"/>
  <c r="F179" i="2"/>
  <c r="V164" i="2"/>
  <c r="V110" i="2"/>
  <c r="V108" i="2"/>
  <c r="L39" i="2"/>
  <c r="L38" i="2"/>
  <c r="V40" i="2"/>
  <c r="V41" i="2"/>
  <c r="V45" i="2"/>
  <c r="V42" i="2"/>
  <c r="V43" i="2"/>
  <c r="V44" i="2"/>
  <c r="E1077" i="1"/>
  <c r="E35" i="2" s="1"/>
  <c r="E1079" i="1"/>
  <c r="E37" i="2" s="1"/>
  <c r="E1078" i="1"/>
  <c r="E36" i="2" s="1"/>
  <c r="R40" i="2"/>
  <c r="R42" i="2"/>
  <c r="R43" i="2"/>
  <c r="R41" i="2"/>
  <c r="R45" i="2"/>
  <c r="R44" i="2"/>
  <c r="O40" i="2"/>
  <c r="O41" i="2"/>
  <c r="O43" i="2"/>
  <c r="O42" i="2"/>
  <c r="O44" i="2"/>
  <c r="O46" i="2"/>
  <c r="O45" i="2"/>
  <c r="U40" i="2"/>
  <c r="U42" i="2"/>
  <c r="U43" i="2"/>
  <c r="U41" i="2"/>
  <c r="U44" i="2"/>
  <c r="U45" i="2"/>
  <c r="V199" i="2"/>
  <c r="V109" i="2"/>
  <c r="M40" i="2"/>
  <c r="M44" i="2"/>
  <c r="M43" i="2"/>
  <c r="M41" i="2"/>
  <c r="M42" i="2"/>
  <c r="M46" i="2"/>
  <c r="Q40" i="2"/>
  <c r="Q41" i="2"/>
  <c r="Q44" i="2"/>
  <c r="Q46" i="2"/>
  <c r="Q42" i="2"/>
  <c r="Q45" i="2"/>
  <c r="Q43" i="2"/>
  <c r="S40" i="2"/>
  <c r="S41" i="2"/>
  <c r="S45" i="2"/>
  <c r="S44" i="2"/>
  <c r="S43" i="2"/>
  <c r="S42" i="2"/>
  <c r="T39" i="2"/>
  <c r="T38" i="2"/>
  <c r="N39" i="2"/>
  <c r="N38" i="2"/>
  <c r="N40" i="2" l="1"/>
  <c r="N43" i="2"/>
  <c r="N44" i="2"/>
  <c r="N46" i="2"/>
  <c r="N41" i="2"/>
  <c r="N42" i="2"/>
  <c r="E39" i="2"/>
  <c r="E38" i="2"/>
  <c r="L40" i="2"/>
  <c r="L42" i="2"/>
  <c r="L46" i="2"/>
  <c r="L43" i="2"/>
  <c r="L44" i="2"/>
  <c r="L41" i="2"/>
  <c r="D46" i="2"/>
  <c r="D40" i="2"/>
  <c r="D41" i="2"/>
  <c r="D43" i="2"/>
  <c r="D42" i="2"/>
  <c r="D44" i="2"/>
  <c r="T40" i="2"/>
  <c r="T43" i="2"/>
  <c r="T41" i="2"/>
  <c r="T42" i="2"/>
  <c r="T45" i="2"/>
  <c r="T44" i="2"/>
  <c r="E164" i="2"/>
  <c r="E110" i="2"/>
  <c r="E108" i="2"/>
  <c r="F164" i="2"/>
  <c r="E166" i="2"/>
  <c r="F166" i="2"/>
  <c r="E46" i="2" l="1"/>
  <c r="E40" i="2"/>
  <c r="E43" i="2"/>
  <c r="E42" i="2"/>
  <c r="E44" i="2"/>
  <c r="E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mvargasb</author>
    <author>malvarado</author>
    <author>Marlen Vargas Benavides</author>
    <author>Jesus</author>
    <author>Marlen</author>
  </authors>
  <commentList>
    <comment ref="B4" authorId="0" shapeId="0" xr:uid="{00000000-0006-0000-0000-000001000000}">
      <text>
        <r>
          <rPr>
            <b/>
            <sz val="9"/>
            <color indexed="81"/>
            <rFont val="Tahoma"/>
            <family val="2"/>
          </rPr>
          <t>mvargasb:</t>
        </r>
        <r>
          <rPr>
            <sz val="9"/>
            <color indexed="81"/>
            <rFont val="Tahoma"/>
            <family val="2"/>
          </rPr>
          <t xml:space="preserve">
es el que la Asamblea Leg aprueba como ley de la república</t>
        </r>
      </text>
    </comment>
    <comment ref="B5" authorId="0" shapeId="0" xr:uid="{00000000-0006-0000-0000-000002000000}">
      <text>
        <r>
          <rPr>
            <b/>
            <sz val="9"/>
            <color indexed="81"/>
            <rFont val="Tahoma"/>
            <family val="2"/>
          </rPr>
          <t>mvargasb:</t>
        </r>
        <r>
          <rPr>
            <sz val="9"/>
            <color indexed="81"/>
            <rFont val="Tahoma"/>
            <family val="2"/>
          </rPr>
          <t xml:space="preserve">
es el que refleja los movimientos que se PRESENTARON en el transcurso del año al presupuesto aprobado por LEY, </t>
        </r>
      </text>
    </comment>
    <comment ref="V5" authorId="1" shapeId="0" xr:uid="{00000000-0006-0000-0000-000003000000}">
      <text>
        <r>
          <rPr>
            <b/>
            <sz val="9"/>
            <color indexed="81"/>
            <rFont val="Tahoma"/>
            <family val="2"/>
          </rPr>
          <t>malvarado:</t>
        </r>
        <r>
          <rPr>
            <sz val="9"/>
            <color indexed="81"/>
            <rFont val="Tahoma"/>
            <family val="2"/>
          </rPr>
          <t xml:space="preserve">
Tomado de la Liquidación presupuestaria de Financiero Contable 2019</t>
        </r>
      </text>
    </comment>
    <comment ref="C10" authorId="0" shapeId="0" xr:uid="{00000000-0006-0000-0000-000004000000}">
      <text>
        <r>
          <rPr>
            <b/>
            <sz val="9"/>
            <color indexed="81"/>
            <rFont val="Tahoma"/>
            <family val="2"/>
          </rPr>
          <t>mvargasb:</t>
        </r>
        <r>
          <rPr>
            <sz val="9"/>
            <color indexed="81"/>
            <rFont val="Tahoma"/>
            <family val="2"/>
          </rPr>
          <t xml:space="preserve">
ND por presupuesto
</t>
        </r>
      </text>
    </comment>
    <comment ref="D10" authorId="0" shapeId="0" xr:uid="{00000000-0006-0000-0000-000005000000}">
      <text>
        <r>
          <rPr>
            <b/>
            <sz val="9"/>
            <color indexed="81"/>
            <rFont val="Tahoma"/>
            <family val="2"/>
          </rPr>
          <t>mvargasb:</t>
        </r>
        <r>
          <rPr>
            <sz val="9"/>
            <color indexed="81"/>
            <rFont val="Tahoma"/>
            <family val="2"/>
          </rPr>
          <t xml:space="preserve">
ND por presupuesto
</t>
        </r>
      </text>
    </comment>
    <comment ref="E10" authorId="0" shapeId="0" xr:uid="{00000000-0006-0000-0000-000006000000}">
      <text>
        <r>
          <rPr>
            <b/>
            <sz val="9"/>
            <color indexed="81"/>
            <rFont val="Tahoma"/>
            <family val="2"/>
          </rPr>
          <t>mvargasb:</t>
        </r>
        <r>
          <rPr>
            <sz val="9"/>
            <color indexed="81"/>
            <rFont val="Tahoma"/>
            <family val="2"/>
          </rPr>
          <t xml:space="preserve">
ND por presupuesto
</t>
        </r>
      </text>
    </comment>
    <comment ref="F10" authorId="0" shapeId="0" xr:uid="{00000000-0006-0000-0000-000007000000}">
      <text>
        <r>
          <rPr>
            <b/>
            <sz val="9"/>
            <color indexed="81"/>
            <rFont val="Tahoma"/>
            <family val="2"/>
          </rPr>
          <t>mvargasb:</t>
        </r>
        <r>
          <rPr>
            <sz val="9"/>
            <color indexed="81"/>
            <rFont val="Tahoma"/>
            <family val="2"/>
          </rPr>
          <t xml:space="preserve">
ND por presupuesto
</t>
        </r>
      </text>
    </comment>
    <comment ref="G10" authorId="0" shapeId="0" xr:uid="{00000000-0006-0000-0000-000008000000}">
      <text>
        <r>
          <rPr>
            <b/>
            <sz val="9"/>
            <color indexed="81"/>
            <rFont val="Tahoma"/>
            <family val="2"/>
          </rPr>
          <t>mvargasb:</t>
        </r>
        <r>
          <rPr>
            <sz val="9"/>
            <color indexed="81"/>
            <rFont val="Tahoma"/>
            <family val="2"/>
          </rPr>
          <t xml:space="preserve">
ND por presupuesto
</t>
        </r>
      </text>
    </comment>
    <comment ref="H10" authorId="0" shapeId="0" xr:uid="{00000000-0006-0000-0000-000009000000}">
      <text>
        <r>
          <rPr>
            <b/>
            <sz val="9"/>
            <color indexed="81"/>
            <rFont val="Tahoma"/>
            <family val="2"/>
          </rPr>
          <t>mvargasb:</t>
        </r>
        <r>
          <rPr>
            <sz val="9"/>
            <color indexed="81"/>
            <rFont val="Tahoma"/>
            <family val="2"/>
          </rPr>
          <t xml:space="preserve">
ND por presupuesto
</t>
        </r>
      </text>
    </comment>
    <comment ref="I10" authorId="0" shapeId="0" xr:uid="{00000000-0006-0000-0000-00000A000000}">
      <text>
        <r>
          <rPr>
            <b/>
            <sz val="9"/>
            <color indexed="81"/>
            <rFont val="Tahoma"/>
            <family val="2"/>
          </rPr>
          <t>mvargasb:</t>
        </r>
        <r>
          <rPr>
            <sz val="9"/>
            <color indexed="81"/>
            <rFont val="Tahoma"/>
            <family val="2"/>
          </rPr>
          <t xml:space="preserve">
ND por presupuesto
</t>
        </r>
      </text>
    </comment>
    <comment ref="J10" authorId="0" shapeId="0" xr:uid="{00000000-0006-0000-0000-00000B000000}">
      <text>
        <r>
          <rPr>
            <b/>
            <sz val="9"/>
            <color indexed="81"/>
            <rFont val="Tahoma"/>
            <family val="2"/>
          </rPr>
          <t>mvargasb:</t>
        </r>
        <r>
          <rPr>
            <sz val="9"/>
            <color indexed="81"/>
            <rFont val="Tahoma"/>
            <family val="2"/>
          </rPr>
          <t xml:space="preserve">
ND por presupuesto
</t>
        </r>
      </text>
    </comment>
    <comment ref="K10" authorId="0" shapeId="0" xr:uid="{00000000-0006-0000-0000-00000C000000}">
      <text>
        <r>
          <rPr>
            <b/>
            <sz val="9"/>
            <color indexed="81"/>
            <rFont val="Tahoma"/>
            <family val="2"/>
          </rPr>
          <t>mvargasb:</t>
        </r>
        <r>
          <rPr>
            <sz val="9"/>
            <color indexed="81"/>
            <rFont val="Tahoma"/>
            <family val="2"/>
          </rPr>
          <t xml:space="preserve">
ND por presupuesto
</t>
        </r>
      </text>
    </comment>
    <comment ref="C12" authorId="0" shapeId="0" xr:uid="{00000000-0006-0000-0000-00000D000000}">
      <text>
        <r>
          <rPr>
            <b/>
            <sz val="9"/>
            <color indexed="81"/>
            <rFont val="Tahoma"/>
            <family val="2"/>
          </rPr>
          <t>mvargasb:</t>
        </r>
        <r>
          <rPr>
            <sz val="9"/>
            <color indexed="81"/>
            <rFont val="Tahoma"/>
            <family val="2"/>
          </rPr>
          <t xml:space="preserve">
ND por presupuesto
</t>
        </r>
      </text>
    </comment>
    <comment ref="D12" authorId="0" shapeId="0" xr:uid="{00000000-0006-0000-0000-00000E000000}">
      <text>
        <r>
          <rPr>
            <b/>
            <sz val="9"/>
            <color indexed="81"/>
            <rFont val="Tahoma"/>
            <family val="2"/>
          </rPr>
          <t>mvargasb:</t>
        </r>
        <r>
          <rPr>
            <sz val="9"/>
            <color indexed="81"/>
            <rFont val="Tahoma"/>
            <family val="2"/>
          </rPr>
          <t xml:space="preserve">
ND por presupuesto
</t>
        </r>
      </text>
    </comment>
    <comment ref="E12" authorId="0" shapeId="0" xr:uid="{00000000-0006-0000-0000-00000F000000}">
      <text>
        <r>
          <rPr>
            <b/>
            <sz val="9"/>
            <color indexed="81"/>
            <rFont val="Tahoma"/>
            <family val="2"/>
          </rPr>
          <t>mvargasb:</t>
        </r>
        <r>
          <rPr>
            <sz val="9"/>
            <color indexed="81"/>
            <rFont val="Tahoma"/>
            <family val="2"/>
          </rPr>
          <t xml:space="preserve">
ND por presupuesto
</t>
        </r>
      </text>
    </comment>
    <comment ref="F12" authorId="0" shapeId="0" xr:uid="{00000000-0006-0000-0000-000010000000}">
      <text>
        <r>
          <rPr>
            <b/>
            <sz val="9"/>
            <color indexed="81"/>
            <rFont val="Tahoma"/>
            <family val="2"/>
          </rPr>
          <t>mvargasb:</t>
        </r>
        <r>
          <rPr>
            <sz val="9"/>
            <color indexed="81"/>
            <rFont val="Tahoma"/>
            <family val="2"/>
          </rPr>
          <t xml:space="preserve">
ND por presupuesto
</t>
        </r>
      </text>
    </comment>
    <comment ref="G12" authorId="0" shapeId="0" xr:uid="{00000000-0006-0000-0000-000011000000}">
      <text>
        <r>
          <rPr>
            <b/>
            <sz val="9"/>
            <color indexed="81"/>
            <rFont val="Tahoma"/>
            <family val="2"/>
          </rPr>
          <t>mvargasb:</t>
        </r>
        <r>
          <rPr>
            <sz val="9"/>
            <color indexed="81"/>
            <rFont val="Tahoma"/>
            <family val="2"/>
          </rPr>
          <t xml:space="preserve">
ND por presupuesto
</t>
        </r>
      </text>
    </comment>
    <comment ref="H12" authorId="0" shapeId="0" xr:uid="{00000000-0006-0000-0000-000012000000}">
      <text>
        <r>
          <rPr>
            <b/>
            <sz val="9"/>
            <color indexed="81"/>
            <rFont val="Tahoma"/>
            <family val="2"/>
          </rPr>
          <t>mvargasb:</t>
        </r>
        <r>
          <rPr>
            <sz val="9"/>
            <color indexed="81"/>
            <rFont val="Tahoma"/>
            <family val="2"/>
          </rPr>
          <t xml:space="preserve">
ND por presupuesto
</t>
        </r>
      </text>
    </comment>
    <comment ref="I12" authorId="0" shapeId="0" xr:uid="{00000000-0006-0000-0000-000013000000}">
      <text>
        <r>
          <rPr>
            <b/>
            <sz val="9"/>
            <color indexed="81"/>
            <rFont val="Tahoma"/>
            <family val="2"/>
          </rPr>
          <t>mvargasb:</t>
        </r>
        <r>
          <rPr>
            <sz val="9"/>
            <color indexed="81"/>
            <rFont val="Tahoma"/>
            <family val="2"/>
          </rPr>
          <t xml:space="preserve">
ND por presupuesto
</t>
        </r>
      </text>
    </comment>
    <comment ref="J12" authorId="0" shapeId="0" xr:uid="{00000000-0006-0000-0000-000014000000}">
      <text>
        <r>
          <rPr>
            <b/>
            <sz val="9"/>
            <color indexed="81"/>
            <rFont val="Tahoma"/>
            <family val="2"/>
          </rPr>
          <t>mvargasb:</t>
        </r>
        <r>
          <rPr>
            <sz val="9"/>
            <color indexed="81"/>
            <rFont val="Tahoma"/>
            <family val="2"/>
          </rPr>
          <t xml:space="preserve">
ND por presupuesto
</t>
        </r>
      </text>
    </comment>
    <comment ref="K12" authorId="0" shapeId="0" xr:uid="{00000000-0006-0000-0000-000015000000}">
      <text>
        <r>
          <rPr>
            <b/>
            <sz val="9"/>
            <color indexed="81"/>
            <rFont val="Tahoma"/>
            <family val="2"/>
          </rPr>
          <t>mvargasb:</t>
        </r>
        <r>
          <rPr>
            <sz val="9"/>
            <color indexed="81"/>
            <rFont val="Tahoma"/>
            <family val="2"/>
          </rPr>
          <t xml:space="preserve">
ND por presupuesto
</t>
        </r>
      </text>
    </comment>
    <comment ref="C13" authorId="0" shapeId="0" xr:uid="{00000000-0006-0000-0000-000016000000}">
      <text>
        <r>
          <rPr>
            <b/>
            <sz val="9"/>
            <color indexed="81"/>
            <rFont val="Tahoma"/>
            <family val="2"/>
          </rPr>
          <t>mvargasb:</t>
        </r>
        <r>
          <rPr>
            <sz val="9"/>
            <color indexed="81"/>
            <rFont val="Tahoma"/>
            <family val="2"/>
          </rPr>
          <t xml:space="preserve">
ND por presupuesto
</t>
        </r>
      </text>
    </comment>
    <comment ref="D13" authorId="0" shapeId="0" xr:uid="{00000000-0006-0000-0000-000017000000}">
      <text>
        <r>
          <rPr>
            <b/>
            <sz val="9"/>
            <color indexed="81"/>
            <rFont val="Tahoma"/>
            <family val="2"/>
          </rPr>
          <t>mvargasb:</t>
        </r>
        <r>
          <rPr>
            <sz val="9"/>
            <color indexed="81"/>
            <rFont val="Tahoma"/>
            <family val="2"/>
          </rPr>
          <t xml:space="preserve">
ND por presupuesto
</t>
        </r>
      </text>
    </comment>
    <comment ref="E13" authorId="0" shapeId="0" xr:uid="{00000000-0006-0000-0000-000018000000}">
      <text>
        <r>
          <rPr>
            <b/>
            <sz val="9"/>
            <color indexed="81"/>
            <rFont val="Tahoma"/>
            <family val="2"/>
          </rPr>
          <t>mvargasb:</t>
        </r>
        <r>
          <rPr>
            <sz val="9"/>
            <color indexed="81"/>
            <rFont val="Tahoma"/>
            <family val="2"/>
          </rPr>
          <t xml:space="preserve">
ND por presupuesto
</t>
        </r>
      </text>
    </comment>
    <comment ref="F13" authorId="0" shapeId="0" xr:uid="{00000000-0006-0000-0000-000019000000}">
      <text>
        <r>
          <rPr>
            <b/>
            <sz val="9"/>
            <color indexed="81"/>
            <rFont val="Tahoma"/>
            <family val="2"/>
          </rPr>
          <t>mvargasb:</t>
        </r>
        <r>
          <rPr>
            <sz val="9"/>
            <color indexed="81"/>
            <rFont val="Tahoma"/>
            <family val="2"/>
          </rPr>
          <t xml:space="preserve">
ND por presupuesto
</t>
        </r>
      </text>
    </comment>
    <comment ref="G13" authorId="0" shapeId="0" xr:uid="{00000000-0006-0000-0000-00001A000000}">
      <text>
        <r>
          <rPr>
            <b/>
            <sz val="9"/>
            <color indexed="81"/>
            <rFont val="Tahoma"/>
            <family val="2"/>
          </rPr>
          <t>mvargasb:</t>
        </r>
        <r>
          <rPr>
            <sz val="9"/>
            <color indexed="81"/>
            <rFont val="Tahoma"/>
            <family val="2"/>
          </rPr>
          <t xml:space="preserve">
ND por presupuesto
</t>
        </r>
      </text>
    </comment>
    <comment ref="H13" authorId="0" shapeId="0" xr:uid="{00000000-0006-0000-0000-00001B000000}">
      <text>
        <r>
          <rPr>
            <b/>
            <sz val="9"/>
            <color indexed="81"/>
            <rFont val="Tahoma"/>
            <family val="2"/>
          </rPr>
          <t>mvargasb:</t>
        </r>
        <r>
          <rPr>
            <sz val="9"/>
            <color indexed="81"/>
            <rFont val="Tahoma"/>
            <family val="2"/>
          </rPr>
          <t xml:space="preserve">
ND por presupuesto
</t>
        </r>
      </text>
    </comment>
    <comment ref="I13" authorId="0" shapeId="0" xr:uid="{00000000-0006-0000-0000-00001C000000}">
      <text>
        <r>
          <rPr>
            <b/>
            <sz val="9"/>
            <color indexed="81"/>
            <rFont val="Tahoma"/>
            <family val="2"/>
          </rPr>
          <t>mvargasb:</t>
        </r>
        <r>
          <rPr>
            <sz val="9"/>
            <color indexed="81"/>
            <rFont val="Tahoma"/>
            <family val="2"/>
          </rPr>
          <t xml:space="preserve">
ND por presupuesto
</t>
        </r>
      </text>
    </comment>
    <comment ref="J13" authorId="0" shapeId="0" xr:uid="{00000000-0006-0000-0000-00001D000000}">
      <text>
        <r>
          <rPr>
            <b/>
            <sz val="9"/>
            <color indexed="81"/>
            <rFont val="Tahoma"/>
            <family val="2"/>
          </rPr>
          <t>mvargasb:</t>
        </r>
        <r>
          <rPr>
            <sz val="9"/>
            <color indexed="81"/>
            <rFont val="Tahoma"/>
            <family val="2"/>
          </rPr>
          <t xml:space="preserve">
ND por presupuesto
</t>
        </r>
      </text>
    </comment>
    <comment ref="K13" authorId="0" shapeId="0" xr:uid="{00000000-0006-0000-0000-00001E000000}">
      <text>
        <r>
          <rPr>
            <b/>
            <sz val="9"/>
            <color indexed="81"/>
            <rFont val="Tahoma"/>
            <family val="2"/>
          </rPr>
          <t>mvargasb:</t>
        </r>
        <r>
          <rPr>
            <sz val="9"/>
            <color indexed="81"/>
            <rFont val="Tahoma"/>
            <family val="2"/>
          </rPr>
          <t xml:space="preserve">
ND por presupuesto
</t>
        </r>
      </text>
    </comment>
    <comment ref="C14" authorId="0" shapeId="0" xr:uid="{00000000-0006-0000-0000-00001F000000}">
      <text>
        <r>
          <rPr>
            <b/>
            <sz val="9"/>
            <color indexed="81"/>
            <rFont val="Tahoma"/>
            <family val="2"/>
          </rPr>
          <t>mvargasb:</t>
        </r>
        <r>
          <rPr>
            <sz val="9"/>
            <color indexed="81"/>
            <rFont val="Tahoma"/>
            <family val="2"/>
          </rPr>
          <t xml:space="preserve">
ND por presupuesto
</t>
        </r>
      </text>
    </comment>
    <comment ref="D14" authorId="0" shapeId="0" xr:uid="{00000000-0006-0000-0000-000020000000}">
      <text>
        <r>
          <rPr>
            <b/>
            <sz val="9"/>
            <color indexed="81"/>
            <rFont val="Tahoma"/>
            <family val="2"/>
          </rPr>
          <t>mvargasb:</t>
        </r>
        <r>
          <rPr>
            <sz val="9"/>
            <color indexed="81"/>
            <rFont val="Tahoma"/>
            <family val="2"/>
          </rPr>
          <t xml:space="preserve">
ND por presupuesto
</t>
        </r>
      </text>
    </comment>
    <comment ref="E14" authorId="0" shapeId="0" xr:uid="{00000000-0006-0000-0000-000021000000}">
      <text>
        <r>
          <rPr>
            <b/>
            <sz val="9"/>
            <color indexed="81"/>
            <rFont val="Tahoma"/>
            <family val="2"/>
          </rPr>
          <t>mvargasb:</t>
        </r>
        <r>
          <rPr>
            <sz val="9"/>
            <color indexed="81"/>
            <rFont val="Tahoma"/>
            <family val="2"/>
          </rPr>
          <t xml:space="preserve">
ND por presupuesto
</t>
        </r>
      </text>
    </comment>
    <comment ref="F14" authorId="0" shapeId="0" xr:uid="{00000000-0006-0000-0000-000022000000}">
      <text>
        <r>
          <rPr>
            <b/>
            <sz val="9"/>
            <color indexed="81"/>
            <rFont val="Tahoma"/>
            <family val="2"/>
          </rPr>
          <t>mvargasb:</t>
        </r>
        <r>
          <rPr>
            <sz val="9"/>
            <color indexed="81"/>
            <rFont val="Tahoma"/>
            <family val="2"/>
          </rPr>
          <t xml:space="preserve">
ND por presupuesto
</t>
        </r>
      </text>
    </comment>
    <comment ref="G14" authorId="0" shapeId="0" xr:uid="{00000000-0006-0000-0000-000023000000}">
      <text>
        <r>
          <rPr>
            <b/>
            <sz val="9"/>
            <color indexed="81"/>
            <rFont val="Tahoma"/>
            <family val="2"/>
          </rPr>
          <t>mvargasb:</t>
        </r>
        <r>
          <rPr>
            <sz val="9"/>
            <color indexed="81"/>
            <rFont val="Tahoma"/>
            <family val="2"/>
          </rPr>
          <t xml:space="preserve">
ND por presupuesto
</t>
        </r>
      </text>
    </comment>
    <comment ref="H14" authorId="0" shapeId="0" xr:uid="{00000000-0006-0000-0000-000024000000}">
      <text>
        <r>
          <rPr>
            <b/>
            <sz val="9"/>
            <color indexed="81"/>
            <rFont val="Tahoma"/>
            <family val="2"/>
          </rPr>
          <t>mvargasb:</t>
        </r>
        <r>
          <rPr>
            <sz val="9"/>
            <color indexed="81"/>
            <rFont val="Tahoma"/>
            <family val="2"/>
          </rPr>
          <t xml:space="preserve">
ND por presupuesto
</t>
        </r>
      </text>
    </comment>
    <comment ref="I14" authorId="0" shapeId="0" xr:uid="{00000000-0006-0000-0000-000025000000}">
      <text>
        <r>
          <rPr>
            <b/>
            <sz val="9"/>
            <color indexed="81"/>
            <rFont val="Tahoma"/>
            <family val="2"/>
          </rPr>
          <t>mvargasb:</t>
        </r>
        <r>
          <rPr>
            <sz val="9"/>
            <color indexed="81"/>
            <rFont val="Tahoma"/>
            <family val="2"/>
          </rPr>
          <t xml:space="preserve">
ND por presupuesto
</t>
        </r>
      </text>
    </comment>
    <comment ref="J14" authorId="0" shapeId="0" xr:uid="{00000000-0006-0000-0000-000026000000}">
      <text>
        <r>
          <rPr>
            <b/>
            <sz val="9"/>
            <color indexed="81"/>
            <rFont val="Tahoma"/>
            <family val="2"/>
          </rPr>
          <t>mvargasb:</t>
        </r>
        <r>
          <rPr>
            <sz val="9"/>
            <color indexed="81"/>
            <rFont val="Tahoma"/>
            <family val="2"/>
          </rPr>
          <t xml:space="preserve">
ND por presupuesto
</t>
        </r>
      </text>
    </comment>
    <comment ref="K14" authorId="0" shapeId="0" xr:uid="{00000000-0006-0000-0000-000027000000}">
      <text>
        <r>
          <rPr>
            <b/>
            <sz val="9"/>
            <color indexed="81"/>
            <rFont val="Tahoma"/>
            <family val="2"/>
          </rPr>
          <t>mvargasb:</t>
        </r>
        <r>
          <rPr>
            <sz val="9"/>
            <color indexed="81"/>
            <rFont val="Tahoma"/>
            <family val="2"/>
          </rPr>
          <t xml:space="preserve">
ND por presupuesto
</t>
        </r>
      </text>
    </comment>
    <comment ref="C15" authorId="0" shapeId="0" xr:uid="{00000000-0006-0000-0000-000028000000}">
      <text>
        <r>
          <rPr>
            <b/>
            <sz val="9"/>
            <color indexed="81"/>
            <rFont val="Tahoma"/>
            <family val="2"/>
          </rPr>
          <t>mvargasb:</t>
        </r>
        <r>
          <rPr>
            <sz val="9"/>
            <color indexed="81"/>
            <rFont val="Tahoma"/>
            <family val="2"/>
          </rPr>
          <t xml:space="preserve">
ND por presupuesto
</t>
        </r>
      </text>
    </comment>
    <comment ref="D15" authorId="0" shapeId="0" xr:uid="{00000000-0006-0000-0000-000029000000}">
      <text>
        <r>
          <rPr>
            <b/>
            <sz val="9"/>
            <color indexed="81"/>
            <rFont val="Tahoma"/>
            <family val="2"/>
          </rPr>
          <t>mvargasb:</t>
        </r>
        <r>
          <rPr>
            <sz val="9"/>
            <color indexed="81"/>
            <rFont val="Tahoma"/>
            <family val="2"/>
          </rPr>
          <t xml:space="preserve">
ND por presupuesto
</t>
        </r>
      </text>
    </comment>
    <comment ref="E15" authorId="0" shapeId="0" xr:uid="{00000000-0006-0000-0000-00002A000000}">
      <text>
        <r>
          <rPr>
            <b/>
            <sz val="9"/>
            <color indexed="81"/>
            <rFont val="Tahoma"/>
            <family val="2"/>
          </rPr>
          <t>mvargasb:</t>
        </r>
        <r>
          <rPr>
            <sz val="9"/>
            <color indexed="81"/>
            <rFont val="Tahoma"/>
            <family val="2"/>
          </rPr>
          <t xml:space="preserve">
ND por presupuesto
</t>
        </r>
      </text>
    </comment>
    <comment ref="F15" authorId="0" shapeId="0" xr:uid="{00000000-0006-0000-0000-00002B000000}">
      <text>
        <r>
          <rPr>
            <b/>
            <sz val="9"/>
            <color indexed="81"/>
            <rFont val="Tahoma"/>
            <family val="2"/>
          </rPr>
          <t>mvargasb:</t>
        </r>
        <r>
          <rPr>
            <sz val="9"/>
            <color indexed="81"/>
            <rFont val="Tahoma"/>
            <family val="2"/>
          </rPr>
          <t xml:space="preserve">
ND por presupuesto
</t>
        </r>
      </text>
    </comment>
    <comment ref="G15" authorId="0" shapeId="0" xr:uid="{00000000-0006-0000-0000-00002C000000}">
      <text>
        <r>
          <rPr>
            <b/>
            <sz val="9"/>
            <color indexed="81"/>
            <rFont val="Tahoma"/>
            <family val="2"/>
          </rPr>
          <t>mvargasb:</t>
        </r>
        <r>
          <rPr>
            <sz val="9"/>
            <color indexed="81"/>
            <rFont val="Tahoma"/>
            <family val="2"/>
          </rPr>
          <t xml:space="preserve">
ND por presupuesto
</t>
        </r>
      </text>
    </comment>
    <comment ref="H15" authorId="0" shapeId="0" xr:uid="{00000000-0006-0000-0000-00002D000000}">
      <text>
        <r>
          <rPr>
            <b/>
            <sz val="9"/>
            <color indexed="81"/>
            <rFont val="Tahoma"/>
            <family val="2"/>
          </rPr>
          <t>mvargasb:</t>
        </r>
        <r>
          <rPr>
            <sz val="9"/>
            <color indexed="81"/>
            <rFont val="Tahoma"/>
            <family val="2"/>
          </rPr>
          <t xml:space="preserve">
ND por presupuesto
</t>
        </r>
      </text>
    </comment>
    <comment ref="I15" authorId="0" shapeId="0" xr:uid="{00000000-0006-0000-0000-00002E000000}">
      <text>
        <r>
          <rPr>
            <b/>
            <sz val="9"/>
            <color indexed="81"/>
            <rFont val="Tahoma"/>
            <family val="2"/>
          </rPr>
          <t>mvargasb:</t>
        </r>
        <r>
          <rPr>
            <sz val="9"/>
            <color indexed="81"/>
            <rFont val="Tahoma"/>
            <family val="2"/>
          </rPr>
          <t xml:space="preserve">
ND por presupuesto
</t>
        </r>
      </text>
    </comment>
    <comment ref="J15" authorId="0" shapeId="0" xr:uid="{00000000-0006-0000-0000-00002F000000}">
      <text>
        <r>
          <rPr>
            <b/>
            <sz val="9"/>
            <color indexed="81"/>
            <rFont val="Tahoma"/>
            <family val="2"/>
          </rPr>
          <t>mvargasb:</t>
        </r>
        <r>
          <rPr>
            <sz val="9"/>
            <color indexed="81"/>
            <rFont val="Tahoma"/>
            <family val="2"/>
          </rPr>
          <t xml:space="preserve">
ND por presupuesto
</t>
        </r>
      </text>
    </comment>
    <comment ref="K15" authorId="0" shapeId="0" xr:uid="{00000000-0006-0000-0000-000030000000}">
      <text>
        <r>
          <rPr>
            <b/>
            <sz val="9"/>
            <color indexed="81"/>
            <rFont val="Tahoma"/>
            <family val="2"/>
          </rPr>
          <t>mvargasb:</t>
        </r>
        <r>
          <rPr>
            <sz val="9"/>
            <color indexed="81"/>
            <rFont val="Tahoma"/>
            <family val="2"/>
          </rPr>
          <t xml:space="preserve">
ND por presupuesto
</t>
        </r>
      </text>
    </comment>
    <comment ref="C16" authorId="0" shapeId="0" xr:uid="{00000000-0006-0000-0000-000031000000}">
      <text>
        <r>
          <rPr>
            <b/>
            <sz val="9"/>
            <color indexed="81"/>
            <rFont val="Tahoma"/>
            <family val="2"/>
          </rPr>
          <t>mvargasb:</t>
        </r>
        <r>
          <rPr>
            <sz val="9"/>
            <color indexed="81"/>
            <rFont val="Tahoma"/>
            <family val="2"/>
          </rPr>
          <t xml:space="preserve">
ND por presupuesto
</t>
        </r>
      </text>
    </comment>
    <comment ref="D16" authorId="0" shapeId="0" xr:uid="{00000000-0006-0000-0000-000032000000}">
      <text>
        <r>
          <rPr>
            <b/>
            <sz val="9"/>
            <color indexed="81"/>
            <rFont val="Tahoma"/>
            <family val="2"/>
          </rPr>
          <t>mvargasb:</t>
        </r>
        <r>
          <rPr>
            <sz val="9"/>
            <color indexed="81"/>
            <rFont val="Tahoma"/>
            <family val="2"/>
          </rPr>
          <t xml:space="preserve">
ND por presupuesto
</t>
        </r>
      </text>
    </comment>
    <comment ref="E16" authorId="0" shapeId="0" xr:uid="{00000000-0006-0000-0000-000033000000}">
      <text>
        <r>
          <rPr>
            <b/>
            <sz val="9"/>
            <color indexed="81"/>
            <rFont val="Tahoma"/>
            <family val="2"/>
          </rPr>
          <t>mvargasb:</t>
        </r>
        <r>
          <rPr>
            <sz val="9"/>
            <color indexed="81"/>
            <rFont val="Tahoma"/>
            <family val="2"/>
          </rPr>
          <t xml:space="preserve">
ND por presupuesto
</t>
        </r>
      </text>
    </comment>
    <comment ref="F16" authorId="0" shapeId="0" xr:uid="{00000000-0006-0000-0000-000034000000}">
      <text>
        <r>
          <rPr>
            <b/>
            <sz val="9"/>
            <color indexed="81"/>
            <rFont val="Tahoma"/>
            <family val="2"/>
          </rPr>
          <t>mvargasb:</t>
        </r>
        <r>
          <rPr>
            <sz val="9"/>
            <color indexed="81"/>
            <rFont val="Tahoma"/>
            <family val="2"/>
          </rPr>
          <t xml:space="preserve">
ND por presupuesto
</t>
        </r>
      </text>
    </comment>
    <comment ref="G16" authorId="0" shapeId="0" xr:uid="{00000000-0006-0000-0000-000035000000}">
      <text>
        <r>
          <rPr>
            <b/>
            <sz val="9"/>
            <color indexed="81"/>
            <rFont val="Tahoma"/>
            <family val="2"/>
          </rPr>
          <t>mvargasb:</t>
        </r>
        <r>
          <rPr>
            <sz val="9"/>
            <color indexed="81"/>
            <rFont val="Tahoma"/>
            <family val="2"/>
          </rPr>
          <t xml:space="preserve">
ND por presupuesto
</t>
        </r>
      </text>
    </comment>
    <comment ref="H16" authorId="0" shapeId="0" xr:uid="{00000000-0006-0000-0000-000036000000}">
      <text>
        <r>
          <rPr>
            <b/>
            <sz val="9"/>
            <color indexed="81"/>
            <rFont val="Tahoma"/>
            <family val="2"/>
          </rPr>
          <t>mvargasb:</t>
        </r>
        <r>
          <rPr>
            <sz val="9"/>
            <color indexed="81"/>
            <rFont val="Tahoma"/>
            <family val="2"/>
          </rPr>
          <t xml:space="preserve">
ND por presupuesto
</t>
        </r>
      </text>
    </comment>
    <comment ref="I16" authorId="0" shapeId="0" xr:uid="{00000000-0006-0000-0000-000037000000}">
      <text>
        <r>
          <rPr>
            <b/>
            <sz val="9"/>
            <color indexed="81"/>
            <rFont val="Tahoma"/>
            <family val="2"/>
          </rPr>
          <t>mvargasb:</t>
        </r>
        <r>
          <rPr>
            <sz val="9"/>
            <color indexed="81"/>
            <rFont val="Tahoma"/>
            <family val="2"/>
          </rPr>
          <t xml:space="preserve">
ND por presupuesto
</t>
        </r>
      </text>
    </comment>
    <comment ref="J16" authorId="0" shapeId="0" xr:uid="{00000000-0006-0000-0000-000038000000}">
      <text>
        <r>
          <rPr>
            <b/>
            <sz val="9"/>
            <color indexed="81"/>
            <rFont val="Tahoma"/>
            <family val="2"/>
          </rPr>
          <t>mvargasb:</t>
        </r>
        <r>
          <rPr>
            <sz val="9"/>
            <color indexed="81"/>
            <rFont val="Tahoma"/>
            <family val="2"/>
          </rPr>
          <t xml:space="preserve">
ND por presupuesto
</t>
        </r>
      </text>
    </comment>
    <comment ref="K16" authorId="0" shapeId="0" xr:uid="{00000000-0006-0000-0000-000039000000}">
      <text>
        <r>
          <rPr>
            <b/>
            <sz val="9"/>
            <color indexed="81"/>
            <rFont val="Tahoma"/>
            <family val="2"/>
          </rPr>
          <t>mvargasb:</t>
        </r>
        <r>
          <rPr>
            <sz val="9"/>
            <color indexed="81"/>
            <rFont val="Tahoma"/>
            <family val="2"/>
          </rPr>
          <t xml:space="preserve">
ND por presupuesto
</t>
        </r>
      </text>
    </comment>
    <comment ref="C17" authorId="0" shapeId="0" xr:uid="{00000000-0006-0000-0000-00003A000000}">
      <text>
        <r>
          <rPr>
            <b/>
            <sz val="9"/>
            <color indexed="81"/>
            <rFont val="Tahoma"/>
            <family val="2"/>
          </rPr>
          <t>mvargasb:</t>
        </r>
        <r>
          <rPr>
            <sz val="9"/>
            <color indexed="81"/>
            <rFont val="Tahoma"/>
            <family val="2"/>
          </rPr>
          <t xml:space="preserve">
ND por presupuesto
</t>
        </r>
      </text>
    </comment>
    <comment ref="D17" authorId="0" shapeId="0" xr:uid="{00000000-0006-0000-0000-00003B000000}">
      <text>
        <r>
          <rPr>
            <b/>
            <sz val="9"/>
            <color indexed="81"/>
            <rFont val="Tahoma"/>
            <family val="2"/>
          </rPr>
          <t>mvargasb:</t>
        </r>
        <r>
          <rPr>
            <sz val="9"/>
            <color indexed="81"/>
            <rFont val="Tahoma"/>
            <family val="2"/>
          </rPr>
          <t xml:space="preserve">
ND por presupuesto
</t>
        </r>
      </text>
    </comment>
    <comment ref="E17" authorId="0" shapeId="0" xr:uid="{00000000-0006-0000-0000-00003C000000}">
      <text>
        <r>
          <rPr>
            <b/>
            <sz val="9"/>
            <color indexed="81"/>
            <rFont val="Tahoma"/>
            <family val="2"/>
          </rPr>
          <t>mvargasb:</t>
        </r>
        <r>
          <rPr>
            <sz val="9"/>
            <color indexed="81"/>
            <rFont val="Tahoma"/>
            <family val="2"/>
          </rPr>
          <t xml:space="preserve">
ND por presupuesto
</t>
        </r>
      </text>
    </comment>
    <comment ref="F17" authorId="0" shapeId="0" xr:uid="{00000000-0006-0000-0000-00003D000000}">
      <text>
        <r>
          <rPr>
            <b/>
            <sz val="9"/>
            <color indexed="81"/>
            <rFont val="Tahoma"/>
            <family val="2"/>
          </rPr>
          <t>mvargasb:</t>
        </r>
        <r>
          <rPr>
            <sz val="9"/>
            <color indexed="81"/>
            <rFont val="Tahoma"/>
            <family val="2"/>
          </rPr>
          <t xml:space="preserve">
ND por presupuesto
</t>
        </r>
      </text>
    </comment>
    <comment ref="G17" authorId="0" shapeId="0" xr:uid="{00000000-0006-0000-0000-00003E000000}">
      <text>
        <r>
          <rPr>
            <b/>
            <sz val="9"/>
            <color indexed="81"/>
            <rFont val="Tahoma"/>
            <family val="2"/>
          </rPr>
          <t>mvargasb:</t>
        </r>
        <r>
          <rPr>
            <sz val="9"/>
            <color indexed="81"/>
            <rFont val="Tahoma"/>
            <family val="2"/>
          </rPr>
          <t xml:space="preserve">
ND por presupuesto
</t>
        </r>
      </text>
    </comment>
    <comment ref="H17" authorId="0" shapeId="0" xr:uid="{00000000-0006-0000-0000-00003F000000}">
      <text>
        <r>
          <rPr>
            <b/>
            <sz val="9"/>
            <color indexed="81"/>
            <rFont val="Tahoma"/>
            <family val="2"/>
          </rPr>
          <t>mvargasb:</t>
        </r>
        <r>
          <rPr>
            <sz val="9"/>
            <color indexed="81"/>
            <rFont val="Tahoma"/>
            <family val="2"/>
          </rPr>
          <t xml:space="preserve">
ND por presupuesto
</t>
        </r>
      </text>
    </comment>
    <comment ref="I17" authorId="0" shapeId="0" xr:uid="{00000000-0006-0000-0000-000040000000}">
      <text>
        <r>
          <rPr>
            <b/>
            <sz val="9"/>
            <color indexed="81"/>
            <rFont val="Tahoma"/>
            <family val="2"/>
          </rPr>
          <t>mvargasb:</t>
        </r>
        <r>
          <rPr>
            <sz val="9"/>
            <color indexed="81"/>
            <rFont val="Tahoma"/>
            <family val="2"/>
          </rPr>
          <t xml:space="preserve">
ND por presupuesto
</t>
        </r>
      </text>
    </comment>
    <comment ref="J17" authorId="0" shapeId="0" xr:uid="{00000000-0006-0000-0000-000041000000}">
      <text>
        <r>
          <rPr>
            <b/>
            <sz val="9"/>
            <color indexed="81"/>
            <rFont val="Tahoma"/>
            <family val="2"/>
          </rPr>
          <t>mvargasb:</t>
        </r>
        <r>
          <rPr>
            <sz val="9"/>
            <color indexed="81"/>
            <rFont val="Tahoma"/>
            <family val="2"/>
          </rPr>
          <t xml:space="preserve">
ND por presupuesto
</t>
        </r>
      </text>
    </comment>
    <comment ref="K17" authorId="0" shapeId="0" xr:uid="{00000000-0006-0000-0000-000042000000}">
      <text>
        <r>
          <rPr>
            <b/>
            <sz val="9"/>
            <color indexed="81"/>
            <rFont val="Tahoma"/>
            <family val="2"/>
          </rPr>
          <t>mvargasb:</t>
        </r>
        <r>
          <rPr>
            <sz val="9"/>
            <color indexed="81"/>
            <rFont val="Tahoma"/>
            <family val="2"/>
          </rPr>
          <t xml:space="preserve">
ND por presupuesto
</t>
        </r>
      </text>
    </comment>
    <comment ref="C18" authorId="0" shapeId="0" xr:uid="{00000000-0006-0000-0000-000043000000}">
      <text>
        <r>
          <rPr>
            <b/>
            <sz val="9"/>
            <color indexed="81"/>
            <rFont val="Tahoma"/>
            <family val="2"/>
          </rPr>
          <t>mvargasb:</t>
        </r>
        <r>
          <rPr>
            <sz val="9"/>
            <color indexed="81"/>
            <rFont val="Tahoma"/>
            <family val="2"/>
          </rPr>
          <t xml:space="preserve">
ND por presupuesto
</t>
        </r>
      </text>
    </comment>
    <comment ref="D18" authorId="0" shapeId="0" xr:uid="{00000000-0006-0000-0000-000044000000}">
      <text>
        <r>
          <rPr>
            <b/>
            <sz val="9"/>
            <color indexed="81"/>
            <rFont val="Tahoma"/>
            <family val="2"/>
          </rPr>
          <t>mvargasb:</t>
        </r>
        <r>
          <rPr>
            <sz val="9"/>
            <color indexed="81"/>
            <rFont val="Tahoma"/>
            <family val="2"/>
          </rPr>
          <t xml:space="preserve">
ND por presupuesto
</t>
        </r>
      </text>
    </comment>
    <comment ref="E18" authorId="0" shapeId="0" xr:uid="{00000000-0006-0000-0000-000045000000}">
      <text>
        <r>
          <rPr>
            <b/>
            <sz val="9"/>
            <color indexed="81"/>
            <rFont val="Tahoma"/>
            <family val="2"/>
          </rPr>
          <t>mvargasb:</t>
        </r>
        <r>
          <rPr>
            <sz val="9"/>
            <color indexed="81"/>
            <rFont val="Tahoma"/>
            <family val="2"/>
          </rPr>
          <t xml:space="preserve">
ND por presupuesto
</t>
        </r>
      </text>
    </comment>
    <comment ref="F18" authorId="0" shapeId="0" xr:uid="{00000000-0006-0000-0000-000046000000}">
      <text>
        <r>
          <rPr>
            <b/>
            <sz val="9"/>
            <color indexed="81"/>
            <rFont val="Tahoma"/>
            <family val="2"/>
          </rPr>
          <t>mvargasb:</t>
        </r>
        <r>
          <rPr>
            <sz val="9"/>
            <color indexed="81"/>
            <rFont val="Tahoma"/>
            <family val="2"/>
          </rPr>
          <t xml:space="preserve">
ND por presupuesto
</t>
        </r>
      </text>
    </comment>
    <comment ref="G18" authorId="0" shapeId="0" xr:uid="{00000000-0006-0000-0000-000047000000}">
      <text>
        <r>
          <rPr>
            <b/>
            <sz val="9"/>
            <color indexed="81"/>
            <rFont val="Tahoma"/>
            <family val="2"/>
          </rPr>
          <t>mvargasb:</t>
        </r>
        <r>
          <rPr>
            <sz val="9"/>
            <color indexed="81"/>
            <rFont val="Tahoma"/>
            <family val="2"/>
          </rPr>
          <t xml:space="preserve">
ND por presupuesto
</t>
        </r>
      </text>
    </comment>
    <comment ref="H18" authorId="0" shapeId="0" xr:uid="{00000000-0006-0000-0000-000048000000}">
      <text>
        <r>
          <rPr>
            <b/>
            <sz val="9"/>
            <color indexed="81"/>
            <rFont val="Tahoma"/>
            <family val="2"/>
          </rPr>
          <t>mvargasb:</t>
        </r>
        <r>
          <rPr>
            <sz val="9"/>
            <color indexed="81"/>
            <rFont val="Tahoma"/>
            <family val="2"/>
          </rPr>
          <t xml:space="preserve">
ND por presupuesto
</t>
        </r>
      </text>
    </comment>
    <comment ref="I18" authorId="0" shapeId="0" xr:uid="{00000000-0006-0000-0000-000049000000}">
      <text>
        <r>
          <rPr>
            <b/>
            <sz val="9"/>
            <color indexed="81"/>
            <rFont val="Tahoma"/>
            <family val="2"/>
          </rPr>
          <t>mvargasb:</t>
        </r>
        <r>
          <rPr>
            <sz val="9"/>
            <color indexed="81"/>
            <rFont val="Tahoma"/>
            <family val="2"/>
          </rPr>
          <t xml:space="preserve">
ND por presupuesto
</t>
        </r>
      </text>
    </comment>
    <comment ref="J18" authorId="0" shapeId="0" xr:uid="{00000000-0006-0000-0000-00004A000000}">
      <text>
        <r>
          <rPr>
            <b/>
            <sz val="9"/>
            <color indexed="81"/>
            <rFont val="Tahoma"/>
            <family val="2"/>
          </rPr>
          <t>mvargasb:</t>
        </r>
        <r>
          <rPr>
            <sz val="9"/>
            <color indexed="81"/>
            <rFont val="Tahoma"/>
            <family val="2"/>
          </rPr>
          <t xml:space="preserve">
ND por presupuesto
</t>
        </r>
      </text>
    </comment>
    <comment ref="K18" authorId="0" shapeId="0" xr:uid="{00000000-0006-0000-0000-00004B000000}">
      <text>
        <r>
          <rPr>
            <b/>
            <sz val="9"/>
            <color indexed="81"/>
            <rFont val="Tahoma"/>
            <family val="2"/>
          </rPr>
          <t>mvargasb:</t>
        </r>
        <r>
          <rPr>
            <sz val="9"/>
            <color indexed="81"/>
            <rFont val="Tahoma"/>
            <family val="2"/>
          </rPr>
          <t xml:space="preserve">
ND por presupuesto
</t>
        </r>
      </text>
    </comment>
    <comment ref="C19" authorId="0" shapeId="0" xr:uid="{00000000-0006-0000-0000-00004C000000}">
      <text>
        <r>
          <rPr>
            <b/>
            <sz val="9"/>
            <color indexed="81"/>
            <rFont val="Tahoma"/>
            <family val="2"/>
          </rPr>
          <t>mvargasb:</t>
        </r>
        <r>
          <rPr>
            <sz val="9"/>
            <color indexed="81"/>
            <rFont val="Tahoma"/>
            <family val="2"/>
          </rPr>
          <t xml:space="preserve">
ND por presupuesto
</t>
        </r>
      </text>
    </comment>
    <comment ref="D19" authorId="0" shapeId="0" xr:uid="{00000000-0006-0000-0000-00004D000000}">
      <text>
        <r>
          <rPr>
            <b/>
            <sz val="9"/>
            <color indexed="81"/>
            <rFont val="Tahoma"/>
            <family val="2"/>
          </rPr>
          <t>mvargasb:</t>
        </r>
        <r>
          <rPr>
            <sz val="9"/>
            <color indexed="81"/>
            <rFont val="Tahoma"/>
            <family val="2"/>
          </rPr>
          <t xml:space="preserve">
ND por presupuesto
</t>
        </r>
      </text>
    </comment>
    <comment ref="E19" authorId="0" shapeId="0" xr:uid="{00000000-0006-0000-0000-00004E000000}">
      <text>
        <r>
          <rPr>
            <b/>
            <sz val="9"/>
            <color indexed="81"/>
            <rFont val="Tahoma"/>
            <family val="2"/>
          </rPr>
          <t>mvargasb:</t>
        </r>
        <r>
          <rPr>
            <sz val="9"/>
            <color indexed="81"/>
            <rFont val="Tahoma"/>
            <family val="2"/>
          </rPr>
          <t xml:space="preserve">
ND por presupuesto
</t>
        </r>
      </text>
    </comment>
    <comment ref="F19" authorId="0" shapeId="0" xr:uid="{00000000-0006-0000-0000-00004F000000}">
      <text>
        <r>
          <rPr>
            <b/>
            <sz val="9"/>
            <color indexed="81"/>
            <rFont val="Tahoma"/>
            <family val="2"/>
          </rPr>
          <t>mvargasb:</t>
        </r>
        <r>
          <rPr>
            <sz val="9"/>
            <color indexed="81"/>
            <rFont val="Tahoma"/>
            <family val="2"/>
          </rPr>
          <t xml:space="preserve">
ND por presupuesto
</t>
        </r>
      </text>
    </comment>
    <comment ref="G19" authorId="0" shapeId="0" xr:uid="{00000000-0006-0000-0000-000050000000}">
      <text>
        <r>
          <rPr>
            <b/>
            <sz val="9"/>
            <color indexed="81"/>
            <rFont val="Tahoma"/>
            <family val="2"/>
          </rPr>
          <t>mvargasb:</t>
        </r>
        <r>
          <rPr>
            <sz val="9"/>
            <color indexed="81"/>
            <rFont val="Tahoma"/>
            <family val="2"/>
          </rPr>
          <t xml:space="preserve">
ND por presupuesto
</t>
        </r>
      </text>
    </comment>
    <comment ref="H19" authorId="0" shapeId="0" xr:uid="{00000000-0006-0000-0000-000051000000}">
      <text>
        <r>
          <rPr>
            <b/>
            <sz val="9"/>
            <color indexed="81"/>
            <rFont val="Tahoma"/>
            <family val="2"/>
          </rPr>
          <t>mvargasb:</t>
        </r>
        <r>
          <rPr>
            <sz val="9"/>
            <color indexed="81"/>
            <rFont val="Tahoma"/>
            <family val="2"/>
          </rPr>
          <t xml:space="preserve">
ND por presupuesto
</t>
        </r>
      </text>
    </comment>
    <comment ref="I19" authorId="0" shapeId="0" xr:uid="{00000000-0006-0000-0000-000052000000}">
      <text>
        <r>
          <rPr>
            <b/>
            <sz val="9"/>
            <color indexed="81"/>
            <rFont val="Tahoma"/>
            <family val="2"/>
          </rPr>
          <t>mvargasb:</t>
        </r>
        <r>
          <rPr>
            <sz val="9"/>
            <color indexed="81"/>
            <rFont val="Tahoma"/>
            <family val="2"/>
          </rPr>
          <t xml:space="preserve">
ND por presupuesto
</t>
        </r>
      </text>
    </comment>
    <comment ref="J19" authorId="0" shapeId="0" xr:uid="{00000000-0006-0000-0000-000053000000}">
      <text>
        <r>
          <rPr>
            <b/>
            <sz val="9"/>
            <color indexed="81"/>
            <rFont val="Tahoma"/>
            <family val="2"/>
          </rPr>
          <t>mvargasb:</t>
        </r>
        <r>
          <rPr>
            <sz val="9"/>
            <color indexed="81"/>
            <rFont val="Tahoma"/>
            <family val="2"/>
          </rPr>
          <t xml:space="preserve">
ND por presupuesto
</t>
        </r>
      </text>
    </comment>
    <comment ref="K19" authorId="0" shapeId="0" xr:uid="{00000000-0006-0000-0000-000054000000}">
      <text>
        <r>
          <rPr>
            <b/>
            <sz val="9"/>
            <color indexed="81"/>
            <rFont val="Tahoma"/>
            <family val="2"/>
          </rPr>
          <t>mvargasb:</t>
        </r>
        <r>
          <rPr>
            <sz val="9"/>
            <color indexed="81"/>
            <rFont val="Tahoma"/>
            <family val="2"/>
          </rPr>
          <t xml:space="preserve">
ND por presupuesto
</t>
        </r>
      </text>
    </comment>
    <comment ref="C20" authorId="0" shapeId="0" xr:uid="{00000000-0006-0000-0000-000055000000}">
      <text>
        <r>
          <rPr>
            <b/>
            <sz val="9"/>
            <color indexed="81"/>
            <rFont val="Tahoma"/>
            <family val="2"/>
          </rPr>
          <t>mvargasb:</t>
        </r>
        <r>
          <rPr>
            <sz val="9"/>
            <color indexed="81"/>
            <rFont val="Tahoma"/>
            <family val="2"/>
          </rPr>
          <t xml:space="preserve">
ND por presupuesto
</t>
        </r>
      </text>
    </comment>
    <comment ref="D20" authorId="0" shapeId="0" xr:uid="{00000000-0006-0000-0000-000056000000}">
      <text>
        <r>
          <rPr>
            <b/>
            <sz val="9"/>
            <color indexed="81"/>
            <rFont val="Tahoma"/>
            <family val="2"/>
          </rPr>
          <t>mvargasb:</t>
        </r>
        <r>
          <rPr>
            <sz val="9"/>
            <color indexed="81"/>
            <rFont val="Tahoma"/>
            <family val="2"/>
          </rPr>
          <t xml:space="preserve">
ND por presupuesto
</t>
        </r>
      </text>
    </comment>
    <comment ref="E20" authorId="0" shapeId="0" xr:uid="{00000000-0006-0000-0000-000057000000}">
      <text>
        <r>
          <rPr>
            <b/>
            <sz val="9"/>
            <color indexed="81"/>
            <rFont val="Tahoma"/>
            <family val="2"/>
          </rPr>
          <t>mvargasb:</t>
        </r>
        <r>
          <rPr>
            <sz val="9"/>
            <color indexed="81"/>
            <rFont val="Tahoma"/>
            <family val="2"/>
          </rPr>
          <t xml:space="preserve">
ND por presupuesto
</t>
        </r>
      </text>
    </comment>
    <comment ref="F20" authorId="0" shapeId="0" xr:uid="{00000000-0006-0000-0000-000058000000}">
      <text>
        <r>
          <rPr>
            <b/>
            <sz val="9"/>
            <color indexed="81"/>
            <rFont val="Tahoma"/>
            <family val="2"/>
          </rPr>
          <t>mvargasb:</t>
        </r>
        <r>
          <rPr>
            <sz val="9"/>
            <color indexed="81"/>
            <rFont val="Tahoma"/>
            <family val="2"/>
          </rPr>
          <t xml:space="preserve">
ND por presupuesto
</t>
        </r>
      </text>
    </comment>
    <comment ref="G20" authorId="0" shapeId="0" xr:uid="{00000000-0006-0000-0000-000059000000}">
      <text>
        <r>
          <rPr>
            <b/>
            <sz val="9"/>
            <color indexed="81"/>
            <rFont val="Tahoma"/>
            <family val="2"/>
          </rPr>
          <t>mvargasb:</t>
        </r>
        <r>
          <rPr>
            <sz val="9"/>
            <color indexed="81"/>
            <rFont val="Tahoma"/>
            <family val="2"/>
          </rPr>
          <t xml:space="preserve">
ND por presupuesto
</t>
        </r>
      </text>
    </comment>
    <comment ref="H20" authorId="0" shapeId="0" xr:uid="{00000000-0006-0000-0000-00005A000000}">
      <text>
        <r>
          <rPr>
            <b/>
            <sz val="9"/>
            <color indexed="81"/>
            <rFont val="Tahoma"/>
            <family val="2"/>
          </rPr>
          <t>mvargasb:</t>
        </r>
        <r>
          <rPr>
            <sz val="9"/>
            <color indexed="81"/>
            <rFont val="Tahoma"/>
            <family val="2"/>
          </rPr>
          <t xml:space="preserve">
ND por presupuesto
</t>
        </r>
      </text>
    </comment>
    <comment ref="I20" authorId="0" shapeId="0" xr:uid="{00000000-0006-0000-0000-00005B000000}">
      <text>
        <r>
          <rPr>
            <b/>
            <sz val="9"/>
            <color indexed="81"/>
            <rFont val="Tahoma"/>
            <family val="2"/>
          </rPr>
          <t>mvargasb:</t>
        </r>
        <r>
          <rPr>
            <sz val="9"/>
            <color indexed="81"/>
            <rFont val="Tahoma"/>
            <family val="2"/>
          </rPr>
          <t xml:space="preserve">
ND por presupuesto
</t>
        </r>
      </text>
    </comment>
    <comment ref="J20" authorId="0" shapeId="0" xr:uid="{00000000-0006-0000-0000-00005C000000}">
      <text>
        <r>
          <rPr>
            <b/>
            <sz val="9"/>
            <color indexed="81"/>
            <rFont val="Tahoma"/>
            <family val="2"/>
          </rPr>
          <t>mvargasb:</t>
        </r>
        <r>
          <rPr>
            <sz val="9"/>
            <color indexed="81"/>
            <rFont val="Tahoma"/>
            <family val="2"/>
          </rPr>
          <t xml:space="preserve">
ND por presupuesto
</t>
        </r>
      </text>
    </comment>
    <comment ref="K20" authorId="0" shapeId="0" xr:uid="{00000000-0006-0000-0000-00005D000000}">
      <text>
        <r>
          <rPr>
            <b/>
            <sz val="9"/>
            <color indexed="81"/>
            <rFont val="Tahoma"/>
            <family val="2"/>
          </rPr>
          <t>mvargasb:</t>
        </r>
        <r>
          <rPr>
            <sz val="9"/>
            <color indexed="81"/>
            <rFont val="Tahoma"/>
            <family val="2"/>
          </rPr>
          <t xml:space="preserve">
ND por presupuesto
</t>
        </r>
      </text>
    </comment>
    <comment ref="C21" authorId="0" shapeId="0" xr:uid="{00000000-0006-0000-0000-00005E000000}">
      <text>
        <r>
          <rPr>
            <b/>
            <sz val="9"/>
            <color indexed="81"/>
            <rFont val="Tahoma"/>
            <family val="2"/>
          </rPr>
          <t>mvargasb:</t>
        </r>
        <r>
          <rPr>
            <sz val="9"/>
            <color indexed="81"/>
            <rFont val="Tahoma"/>
            <family val="2"/>
          </rPr>
          <t xml:space="preserve">
ND por presupuesto
</t>
        </r>
      </text>
    </comment>
    <comment ref="D21" authorId="0" shapeId="0" xr:uid="{00000000-0006-0000-0000-00005F000000}">
      <text>
        <r>
          <rPr>
            <b/>
            <sz val="9"/>
            <color indexed="81"/>
            <rFont val="Tahoma"/>
            <family val="2"/>
          </rPr>
          <t>mvargasb:</t>
        </r>
        <r>
          <rPr>
            <sz val="9"/>
            <color indexed="81"/>
            <rFont val="Tahoma"/>
            <family val="2"/>
          </rPr>
          <t xml:space="preserve">
ND por presupuesto
</t>
        </r>
      </text>
    </comment>
    <comment ref="E21" authorId="0" shapeId="0" xr:uid="{00000000-0006-0000-0000-000060000000}">
      <text>
        <r>
          <rPr>
            <b/>
            <sz val="9"/>
            <color indexed="81"/>
            <rFont val="Tahoma"/>
            <family val="2"/>
          </rPr>
          <t>mvargasb:</t>
        </r>
        <r>
          <rPr>
            <sz val="9"/>
            <color indexed="81"/>
            <rFont val="Tahoma"/>
            <family val="2"/>
          </rPr>
          <t xml:space="preserve">
ND por presupuesto
</t>
        </r>
      </text>
    </comment>
    <comment ref="F21" authorId="0" shapeId="0" xr:uid="{00000000-0006-0000-0000-000061000000}">
      <text>
        <r>
          <rPr>
            <b/>
            <sz val="9"/>
            <color indexed="81"/>
            <rFont val="Tahoma"/>
            <family val="2"/>
          </rPr>
          <t>mvargasb:</t>
        </r>
        <r>
          <rPr>
            <sz val="9"/>
            <color indexed="81"/>
            <rFont val="Tahoma"/>
            <family val="2"/>
          </rPr>
          <t xml:space="preserve">
ND por presupuesto
</t>
        </r>
      </text>
    </comment>
    <comment ref="G21" authorId="0" shapeId="0" xr:uid="{00000000-0006-0000-0000-000062000000}">
      <text>
        <r>
          <rPr>
            <b/>
            <sz val="9"/>
            <color indexed="81"/>
            <rFont val="Tahoma"/>
            <family val="2"/>
          </rPr>
          <t>mvargasb:</t>
        </r>
        <r>
          <rPr>
            <sz val="9"/>
            <color indexed="81"/>
            <rFont val="Tahoma"/>
            <family val="2"/>
          </rPr>
          <t xml:space="preserve">
ND por presupuesto
</t>
        </r>
      </text>
    </comment>
    <comment ref="H21" authorId="0" shapeId="0" xr:uid="{00000000-0006-0000-0000-000063000000}">
      <text>
        <r>
          <rPr>
            <b/>
            <sz val="9"/>
            <color indexed="81"/>
            <rFont val="Tahoma"/>
            <family val="2"/>
          </rPr>
          <t>mvargasb:</t>
        </r>
        <r>
          <rPr>
            <sz val="9"/>
            <color indexed="81"/>
            <rFont val="Tahoma"/>
            <family val="2"/>
          </rPr>
          <t xml:space="preserve">
ND por presupuesto
</t>
        </r>
      </text>
    </comment>
    <comment ref="I21" authorId="0" shapeId="0" xr:uid="{00000000-0006-0000-0000-000064000000}">
      <text>
        <r>
          <rPr>
            <b/>
            <sz val="9"/>
            <color indexed="81"/>
            <rFont val="Tahoma"/>
            <family val="2"/>
          </rPr>
          <t>mvargasb:</t>
        </r>
        <r>
          <rPr>
            <sz val="9"/>
            <color indexed="81"/>
            <rFont val="Tahoma"/>
            <family val="2"/>
          </rPr>
          <t xml:space="preserve">
ND por presupuesto
</t>
        </r>
      </text>
    </comment>
    <comment ref="J21" authorId="0" shapeId="0" xr:uid="{00000000-0006-0000-0000-000065000000}">
      <text>
        <r>
          <rPr>
            <b/>
            <sz val="9"/>
            <color indexed="81"/>
            <rFont val="Tahoma"/>
            <family val="2"/>
          </rPr>
          <t>mvargasb:</t>
        </r>
        <r>
          <rPr>
            <sz val="9"/>
            <color indexed="81"/>
            <rFont val="Tahoma"/>
            <family val="2"/>
          </rPr>
          <t xml:space="preserve">
ND por presupuesto
</t>
        </r>
      </text>
    </comment>
    <comment ref="K21" authorId="0" shapeId="0" xr:uid="{00000000-0006-0000-0000-000066000000}">
      <text>
        <r>
          <rPr>
            <b/>
            <sz val="9"/>
            <color indexed="81"/>
            <rFont val="Tahoma"/>
            <family val="2"/>
          </rPr>
          <t>mvargasb:</t>
        </r>
        <r>
          <rPr>
            <sz val="9"/>
            <color indexed="81"/>
            <rFont val="Tahoma"/>
            <family val="2"/>
          </rPr>
          <t xml:space="preserve">
ND por presupuesto
</t>
        </r>
      </text>
    </comment>
    <comment ref="C22" authorId="0" shapeId="0" xr:uid="{00000000-0006-0000-0000-000067000000}">
      <text>
        <r>
          <rPr>
            <b/>
            <sz val="9"/>
            <color indexed="81"/>
            <rFont val="Tahoma"/>
            <family val="2"/>
          </rPr>
          <t>mvargasb:</t>
        </r>
        <r>
          <rPr>
            <sz val="9"/>
            <color indexed="81"/>
            <rFont val="Tahoma"/>
            <family val="2"/>
          </rPr>
          <t xml:space="preserve">
ND por presupuesto
</t>
        </r>
      </text>
    </comment>
    <comment ref="D22" authorId="0" shapeId="0" xr:uid="{00000000-0006-0000-0000-000068000000}">
      <text>
        <r>
          <rPr>
            <b/>
            <sz val="9"/>
            <color indexed="81"/>
            <rFont val="Tahoma"/>
            <family val="2"/>
          </rPr>
          <t>mvargasb:</t>
        </r>
        <r>
          <rPr>
            <sz val="9"/>
            <color indexed="81"/>
            <rFont val="Tahoma"/>
            <family val="2"/>
          </rPr>
          <t xml:space="preserve">
ND por presupuesto
</t>
        </r>
      </text>
    </comment>
    <comment ref="E22" authorId="0" shapeId="0" xr:uid="{00000000-0006-0000-0000-000069000000}">
      <text>
        <r>
          <rPr>
            <b/>
            <sz val="9"/>
            <color indexed="81"/>
            <rFont val="Tahoma"/>
            <family val="2"/>
          </rPr>
          <t>mvargasb:</t>
        </r>
        <r>
          <rPr>
            <sz val="9"/>
            <color indexed="81"/>
            <rFont val="Tahoma"/>
            <family val="2"/>
          </rPr>
          <t xml:space="preserve">
ND por presupuesto
</t>
        </r>
      </text>
    </comment>
    <comment ref="F22" authorId="0" shapeId="0" xr:uid="{00000000-0006-0000-0000-00006A000000}">
      <text>
        <r>
          <rPr>
            <b/>
            <sz val="9"/>
            <color indexed="81"/>
            <rFont val="Tahoma"/>
            <family val="2"/>
          </rPr>
          <t>mvargasb:</t>
        </r>
        <r>
          <rPr>
            <sz val="9"/>
            <color indexed="81"/>
            <rFont val="Tahoma"/>
            <family val="2"/>
          </rPr>
          <t xml:space="preserve">
ND por presupuesto
</t>
        </r>
      </text>
    </comment>
    <comment ref="G22" authorId="0" shapeId="0" xr:uid="{00000000-0006-0000-0000-00006B000000}">
      <text>
        <r>
          <rPr>
            <b/>
            <sz val="9"/>
            <color indexed="81"/>
            <rFont val="Tahoma"/>
            <family val="2"/>
          </rPr>
          <t>mvargasb:</t>
        </r>
        <r>
          <rPr>
            <sz val="9"/>
            <color indexed="81"/>
            <rFont val="Tahoma"/>
            <family val="2"/>
          </rPr>
          <t xml:space="preserve">
ND por presupuesto
</t>
        </r>
      </text>
    </comment>
    <comment ref="H22" authorId="0" shapeId="0" xr:uid="{00000000-0006-0000-0000-00006C000000}">
      <text>
        <r>
          <rPr>
            <b/>
            <sz val="9"/>
            <color indexed="81"/>
            <rFont val="Tahoma"/>
            <family val="2"/>
          </rPr>
          <t>mvargasb:</t>
        </r>
        <r>
          <rPr>
            <sz val="9"/>
            <color indexed="81"/>
            <rFont val="Tahoma"/>
            <family val="2"/>
          </rPr>
          <t xml:space="preserve">
ND por presupuesto
</t>
        </r>
      </text>
    </comment>
    <comment ref="I22" authorId="0" shapeId="0" xr:uid="{00000000-0006-0000-0000-00006D000000}">
      <text>
        <r>
          <rPr>
            <b/>
            <sz val="9"/>
            <color indexed="81"/>
            <rFont val="Tahoma"/>
            <family val="2"/>
          </rPr>
          <t>mvargasb:</t>
        </r>
        <r>
          <rPr>
            <sz val="9"/>
            <color indexed="81"/>
            <rFont val="Tahoma"/>
            <family val="2"/>
          </rPr>
          <t xml:space="preserve">
ND por presupuesto
</t>
        </r>
      </text>
    </comment>
    <comment ref="J22" authorId="0" shapeId="0" xr:uid="{00000000-0006-0000-0000-00006E000000}">
      <text>
        <r>
          <rPr>
            <b/>
            <sz val="9"/>
            <color indexed="81"/>
            <rFont val="Tahoma"/>
            <family val="2"/>
          </rPr>
          <t>mvargasb:</t>
        </r>
        <r>
          <rPr>
            <sz val="9"/>
            <color indexed="81"/>
            <rFont val="Tahoma"/>
            <family val="2"/>
          </rPr>
          <t xml:space="preserve">
ND por presupuesto
</t>
        </r>
      </text>
    </comment>
    <comment ref="K22" authorId="0" shapeId="0" xr:uid="{00000000-0006-0000-0000-00006F000000}">
      <text>
        <r>
          <rPr>
            <b/>
            <sz val="9"/>
            <color indexed="81"/>
            <rFont val="Tahoma"/>
            <family val="2"/>
          </rPr>
          <t>mvargasb:</t>
        </r>
        <r>
          <rPr>
            <sz val="9"/>
            <color indexed="81"/>
            <rFont val="Tahoma"/>
            <family val="2"/>
          </rPr>
          <t xml:space="preserve">
ND por presupuesto
</t>
        </r>
      </text>
    </comment>
    <comment ref="C23" authorId="0" shapeId="0" xr:uid="{00000000-0006-0000-0000-000070000000}">
      <text>
        <r>
          <rPr>
            <b/>
            <sz val="9"/>
            <color indexed="81"/>
            <rFont val="Tahoma"/>
            <family val="2"/>
          </rPr>
          <t>mvargasb:</t>
        </r>
        <r>
          <rPr>
            <sz val="9"/>
            <color indexed="81"/>
            <rFont val="Tahoma"/>
            <family val="2"/>
          </rPr>
          <t xml:space="preserve">
ND por presupuesto
</t>
        </r>
      </text>
    </comment>
    <comment ref="D23" authorId="0" shapeId="0" xr:uid="{00000000-0006-0000-0000-000071000000}">
      <text>
        <r>
          <rPr>
            <b/>
            <sz val="9"/>
            <color indexed="81"/>
            <rFont val="Tahoma"/>
            <family val="2"/>
          </rPr>
          <t>mvargasb:</t>
        </r>
        <r>
          <rPr>
            <sz val="9"/>
            <color indexed="81"/>
            <rFont val="Tahoma"/>
            <family val="2"/>
          </rPr>
          <t xml:space="preserve">
ND por presupuesto
</t>
        </r>
      </text>
    </comment>
    <comment ref="E23" authorId="0" shapeId="0" xr:uid="{00000000-0006-0000-0000-000072000000}">
      <text>
        <r>
          <rPr>
            <b/>
            <sz val="9"/>
            <color indexed="81"/>
            <rFont val="Tahoma"/>
            <family val="2"/>
          </rPr>
          <t>mvargasb:</t>
        </r>
        <r>
          <rPr>
            <sz val="9"/>
            <color indexed="81"/>
            <rFont val="Tahoma"/>
            <family val="2"/>
          </rPr>
          <t xml:space="preserve">
ND por presupuesto
</t>
        </r>
      </text>
    </comment>
    <comment ref="F23" authorId="0" shapeId="0" xr:uid="{00000000-0006-0000-0000-000073000000}">
      <text>
        <r>
          <rPr>
            <b/>
            <sz val="9"/>
            <color indexed="81"/>
            <rFont val="Tahoma"/>
            <family val="2"/>
          </rPr>
          <t>mvargasb:</t>
        </r>
        <r>
          <rPr>
            <sz val="9"/>
            <color indexed="81"/>
            <rFont val="Tahoma"/>
            <family val="2"/>
          </rPr>
          <t xml:space="preserve">
ND por presupuesto
</t>
        </r>
      </text>
    </comment>
    <comment ref="G23" authorId="0" shapeId="0" xr:uid="{00000000-0006-0000-0000-000074000000}">
      <text>
        <r>
          <rPr>
            <b/>
            <sz val="9"/>
            <color indexed="81"/>
            <rFont val="Tahoma"/>
            <family val="2"/>
          </rPr>
          <t>mvargasb:</t>
        </r>
        <r>
          <rPr>
            <sz val="9"/>
            <color indexed="81"/>
            <rFont val="Tahoma"/>
            <family val="2"/>
          </rPr>
          <t xml:space="preserve">
ND por presupuesto
</t>
        </r>
      </text>
    </comment>
    <comment ref="H23" authorId="0" shapeId="0" xr:uid="{00000000-0006-0000-0000-000075000000}">
      <text>
        <r>
          <rPr>
            <b/>
            <sz val="9"/>
            <color indexed="81"/>
            <rFont val="Tahoma"/>
            <family val="2"/>
          </rPr>
          <t>mvargasb:</t>
        </r>
        <r>
          <rPr>
            <sz val="9"/>
            <color indexed="81"/>
            <rFont val="Tahoma"/>
            <family val="2"/>
          </rPr>
          <t xml:space="preserve">
ND por presupuesto
</t>
        </r>
      </text>
    </comment>
    <comment ref="I23" authorId="0" shapeId="0" xr:uid="{00000000-0006-0000-0000-000076000000}">
      <text>
        <r>
          <rPr>
            <b/>
            <sz val="9"/>
            <color indexed="81"/>
            <rFont val="Tahoma"/>
            <family val="2"/>
          </rPr>
          <t>mvargasb:</t>
        </r>
        <r>
          <rPr>
            <sz val="9"/>
            <color indexed="81"/>
            <rFont val="Tahoma"/>
            <family val="2"/>
          </rPr>
          <t xml:space="preserve">
ND por presupuesto
</t>
        </r>
      </text>
    </comment>
    <comment ref="J23" authorId="0" shapeId="0" xr:uid="{00000000-0006-0000-0000-000077000000}">
      <text>
        <r>
          <rPr>
            <b/>
            <sz val="9"/>
            <color indexed="81"/>
            <rFont val="Tahoma"/>
            <family val="2"/>
          </rPr>
          <t>mvargasb:</t>
        </r>
        <r>
          <rPr>
            <sz val="9"/>
            <color indexed="81"/>
            <rFont val="Tahoma"/>
            <family val="2"/>
          </rPr>
          <t xml:space="preserve">
ND por presupuesto
</t>
        </r>
      </text>
    </comment>
    <comment ref="K23" authorId="0" shapeId="0" xr:uid="{00000000-0006-0000-0000-000078000000}">
      <text>
        <r>
          <rPr>
            <b/>
            <sz val="9"/>
            <color indexed="81"/>
            <rFont val="Tahoma"/>
            <family val="2"/>
          </rPr>
          <t>mvargasb:</t>
        </r>
        <r>
          <rPr>
            <sz val="9"/>
            <color indexed="81"/>
            <rFont val="Tahoma"/>
            <family val="2"/>
          </rPr>
          <t xml:space="preserve">
ND por presupuesto
</t>
        </r>
      </text>
    </comment>
    <comment ref="B24" authorId="2" shapeId="0" xr:uid="{00000000-0006-0000-0000-000079000000}">
      <text>
        <r>
          <rPr>
            <b/>
            <sz val="9"/>
            <color indexed="81"/>
            <rFont val="Tahoma"/>
            <family val="2"/>
          </rPr>
          <t>Marlen Vargas Benavides:</t>
        </r>
        <r>
          <rPr>
            <sz val="9"/>
            <color indexed="81"/>
            <rFont val="Tahoma"/>
            <family val="2"/>
          </rPr>
          <t xml:space="preserve">
incluye Ciencias forenses</t>
        </r>
      </text>
    </comment>
    <comment ref="V32" authorId="1" shapeId="0" xr:uid="{00000000-0006-0000-0000-00007A000000}">
      <text>
        <r>
          <rPr>
            <b/>
            <sz val="9"/>
            <color indexed="81"/>
            <rFont val="Tahoma"/>
            <family val="2"/>
          </rPr>
          <t>malvarado:</t>
        </r>
        <r>
          <rPr>
            <sz val="9"/>
            <color indexed="81"/>
            <rFont val="Tahoma"/>
            <family val="2"/>
          </rPr>
          <t xml:space="preserve">
Tomado de Ley de Presupuesto</t>
        </r>
      </text>
    </comment>
    <comment ref="B36" authorId="0" shapeId="0" xr:uid="{00000000-0006-0000-0000-00007B000000}">
      <text>
        <r>
          <rPr>
            <b/>
            <sz val="9"/>
            <color indexed="81"/>
            <rFont val="Tahoma"/>
            <family val="2"/>
          </rPr>
          <t>mvargasb:</t>
        </r>
        <r>
          <rPr>
            <sz val="9"/>
            <color indexed="81"/>
            <rFont val="Tahoma"/>
            <family val="2"/>
          </rPr>
          <t xml:space="preserve">
es el gasto ejecutado
</t>
        </r>
      </text>
    </comment>
    <comment ref="U44" authorId="2" shapeId="0" xr:uid="{5CAD05DD-9BED-4F6B-9596-883FAE04688D}">
      <text>
        <r>
          <rPr>
            <b/>
            <sz val="9"/>
            <color indexed="81"/>
            <rFont val="Tahoma"/>
            <family val="2"/>
          </rPr>
          <t>Marlen Vargas Benavides:</t>
        </r>
        <r>
          <rPr>
            <sz val="9"/>
            <color indexed="81"/>
            <rFont val="Tahoma"/>
            <family val="2"/>
          </rPr>
          <t xml:space="preserve">
se deja de presentar, ahora es con año base 2012</t>
        </r>
      </text>
    </comment>
    <comment ref="V44" authorId="2" shapeId="0" xr:uid="{E82F01FC-F9E5-47D8-8D75-727A7C3A4C43}">
      <text>
        <r>
          <rPr>
            <b/>
            <sz val="9"/>
            <color indexed="81"/>
            <rFont val="Tahoma"/>
            <family val="2"/>
          </rPr>
          <t>Marlen Vargas Benavides:</t>
        </r>
        <r>
          <rPr>
            <sz val="9"/>
            <color indexed="81"/>
            <rFont val="Tahoma"/>
            <family val="2"/>
          </rPr>
          <t xml:space="preserve">
se deja de presentar, ahora es con año base 2012</t>
        </r>
      </text>
    </comment>
    <comment ref="C50" authorId="0" shapeId="0" xr:uid="{AD463E67-F8E1-465F-A771-903894A4CA26}">
      <text>
        <r>
          <rPr>
            <b/>
            <sz val="9"/>
            <color indexed="81"/>
            <rFont val="Tahoma"/>
            <family val="2"/>
          </rPr>
          <t>mvargasb:</t>
        </r>
        <r>
          <rPr>
            <sz val="9"/>
            <color indexed="81"/>
            <rFont val="Tahoma"/>
            <family val="2"/>
          </rPr>
          <t xml:space="preserve">
estimación porcentual con el año 2011
</t>
        </r>
      </text>
    </comment>
    <comment ref="D50" authorId="0" shapeId="0" xr:uid="{88A361D1-F778-4B1E-9B46-1E79D5875BA4}">
      <text>
        <r>
          <rPr>
            <b/>
            <sz val="9"/>
            <color indexed="81"/>
            <rFont val="Tahoma"/>
            <family val="2"/>
          </rPr>
          <t>mvargasb:</t>
        </r>
        <r>
          <rPr>
            <sz val="9"/>
            <color indexed="81"/>
            <rFont val="Tahoma"/>
            <family val="2"/>
          </rPr>
          <t xml:space="preserve">
estimación porcentual con el año 2011
</t>
        </r>
      </text>
    </comment>
    <comment ref="E50" authorId="0" shapeId="0" xr:uid="{946722EB-FDAE-4035-B13B-FF6E14403759}">
      <text>
        <r>
          <rPr>
            <b/>
            <sz val="9"/>
            <color indexed="81"/>
            <rFont val="Tahoma"/>
            <family val="2"/>
          </rPr>
          <t>mvargasb:</t>
        </r>
        <r>
          <rPr>
            <sz val="9"/>
            <color indexed="81"/>
            <rFont val="Tahoma"/>
            <family val="2"/>
          </rPr>
          <t xml:space="preserve">
estimación porcentual con el año 2011
</t>
        </r>
      </text>
    </comment>
    <comment ref="F50" authorId="0" shapeId="0" xr:uid="{D510C12C-8FEC-4637-BD60-1BB16A74DE83}">
      <text>
        <r>
          <rPr>
            <b/>
            <sz val="9"/>
            <color indexed="81"/>
            <rFont val="Tahoma"/>
            <family val="2"/>
          </rPr>
          <t>mvargasb:</t>
        </r>
        <r>
          <rPr>
            <sz val="9"/>
            <color indexed="81"/>
            <rFont val="Tahoma"/>
            <family val="2"/>
          </rPr>
          <t xml:space="preserve">
estimación porcentual con el año 2011
</t>
        </r>
      </text>
    </comment>
    <comment ref="G50" authorId="0" shapeId="0" xr:uid="{89A2F4D7-27B4-47AD-B4CE-EE755BABE8AD}">
      <text>
        <r>
          <rPr>
            <b/>
            <sz val="9"/>
            <color indexed="81"/>
            <rFont val="Tahoma"/>
            <family val="2"/>
          </rPr>
          <t>mvargasb:</t>
        </r>
        <r>
          <rPr>
            <sz val="9"/>
            <color indexed="81"/>
            <rFont val="Tahoma"/>
            <family val="2"/>
          </rPr>
          <t xml:space="preserve">
estimación porcentual con el año 2011
</t>
        </r>
      </text>
    </comment>
    <comment ref="H50" authorId="0" shapeId="0" xr:uid="{5C631E5E-06BC-413E-AC47-1B37D8633288}">
      <text>
        <r>
          <rPr>
            <b/>
            <sz val="9"/>
            <color indexed="81"/>
            <rFont val="Tahoma"/>
            <family val="2"/>
          </rPr>
          <t>mvargasb:</t>
        </r>
        <r>
          <rPr>
            <sz val="9"/>
            <color indexed="81"/>
            <rFont val="Tahoma"/>
            <family val="2"/>
          </rPr>
          <t xml:space="preserve">
estimación porcentual con el año 2011
</t>
        </r>
      </text>
    </comment>
    <comment ref="I50" authorId="0" shapeId="0" xr:uid="{1D091551-81B8-460C-B29B-261A9703A660}">
      <text>
        <r>
          <rPr>
            <b/>
            <sz val="9"/>
            <color indexed="81"/>
            <rFont val="Tahoma"/>
            <family val="2"/>
          </rPr>
          <t>mvargasb:</t>
        </r>
        <r>
          <rPr>
            <sz val="9"/>
            <color indexed="81"/>
            <rFont val="Tahoma"/>
            <family val="2"/>
          </rPr>
          <t xml:space="preserve">
estimación porcentual con el año 2011
</t>
        </r>
      </text>
    </comment>
    <comment ref="J50" authorId="0" shapeId="0" xr:uid="{B44B25E6-FEFB-4944-A168-FC092BEFBB19}">
      <text>
        <r>
          <rPr>
            <b/>
            <sz val="9"/>
            <color indexed="81"/>
            <rFont val="Tahoma"/>
            <family val="2"/>
          </rPr>
          <t>mvargasb:</t>
        </r>
        <r>
          <rPr>
            <sz val="9"/>
            <color indexed="81"/>
            <rFont val="Tahoma"/>
            <family val="2"/>
          </rPr>
          <t xml:space="preserve">
estimación porcentual con el año 2011
</t>
        </r>
      </text>
    </comment>
    <comment ref="K50" authorId="0" shapeId="0" xr:uid="{2191CE67-2CAA-4BC3-8F2D-0B14453986E1}">
      <text>
        <r>
          <rPr>
            <b/>
            <sz val="9"/>
            <color indexed="81"/>
            <rFont val="Tahoma"/>
            <family val="2"/>
          </rPr>
          <t>mvargasb:</t>
        </r>
        <r>
          <rPr>
            <sz val="9"/>
            <color indexed="81"/>
            <rFont val="Tahoma"/>
            <family val="2"/>
          </rPr>
          <t xml:space="preserve">
estimación porcentual con el año 2011
</t>
        </r>
      </text>
    </comment>
    <comment ref="L50" authorId="0" shapeId="0" xr:uid="{7F9AF634-A694-4B3D-86CE-3B89A3FF82FC}">
      <text>
        <r>
          <rPr>
            <b/>
            <sz val="9"/>
            <color indexed="81"/>
            <rFont val="Tahoma"/>
            <family val="2"/>
          </rPr>
          <t>mvargasb:</t>
        </r>
        <r>
          <rPr>
            <sz val="9"/>
            <color indexed="81"/>
            <rFont val="Tahoma"/>
            <family val="2"/>
          </rPr>
          <t xml:space="preserve">
estimación porcentual con el año 2011
</t>
        </r>
      </text>
    </comment>
    <comment ref="M50" authorId="0" shapeId="0" xr:uid="{00000000-0006-0000-0000-000086000000}">
      <text>
        <r>
          <rPr>
            <b/>
            <sz val="9"/>
            <color indexed="81"/>
            <rFont val="Tahoma"/>
            <family val="2"/>
          </rPr>
          <t>mvargasb:</t>
        </r>
        <r>
          <rPr>
            <sz val="9"/>
            <color indexed="81"/>
            <rFont val="Tahoma"/>
            <family val="2"/>
          </rPr>
          <t xml:space="preserve">
estimación porcentual con el año 2011
</t>
        </r>
      </text>
    </comment>
    <comment ref="C51" authorId="0" shapeId="0" xr:uid="{EAB3FEBB-63B7-4D63-B7C5-18A2C06FFC68}">
      <text>
        <r>
          <rPr>
            <b/>
            <sz val="9"/>
            <color indexed="81"/>
            <rFont val="Tahoma"/>
            <family val="2"/>
          </rPr>
          <t>mvargasb:</t>
        </r>
        <r>
          <rPr>
            <sz val="9"/>
            <color indexed="81"/>
            <rFont val="Tahoma"/>
            <family val="2"/>
          </rPr>
          <t xml:space="preserve">
estimación porcentual con el año 2011
</t>
        </r>
      </text>
    </comment>
    <comment ref="D51" authorId="0" shapeId="0" xr:uid="{F9F9E330-0261-4641-B61E-6E788DE4A44F}">
      <text>
        <r>
          <rPr>
            <b/>
            <sz val="9"/>
            <color indexed="81"/>
            <rFont val="Tahoma"/>
            <family val="2"/>
          </rPr>
          <t>mvargasb:</t>
        </r>
        <r>
          <rPr>
            <sz val="9"/>
            <color indexed="81"/>
            <rFont val="Tahoma"/>
            <family val="2"/>
          </rPr>
          <t xml:space="preserve">
estimación porcentual con el año 2011
</t>
        </r>
      </text>
    </comment>
    <comment ref="E51" authorId="0" shapeId="0" xr:uid="{89167CAD-DDDB-4962-BE16-CAE077269CF5}">
      <text>
        <r>
          <rPr>
            <b/>
            <sz val="9"/>
            <color indexed="81"/>
            <rFont val="Tahoma"/>
            <family val="2"/>
          </rPr>
          <t>mvargasb:</t>
        </r>
        <r>
          <rPr>
            <sz val="9"/>
            <color indexed="81"/>
            <rFont val="Tahoma"/>
            <family val="2"/>
          </rPr>
          <t xml:space="preserve">
estimación porcentual con el año 2011
</t>
        </r>
      </text>
    </comment>
    <comment ref="F51" authorId="0" shapeId="0" xr:uid="{573CD46F-45FA-4F33-ABBC-E2747CEACE1D}">
      <text>
        <r>
          <rPr>
            <b/>
            <sz val="9"/>
            <color indexed="81"/>
            <rFont val="Tahoma"/>
            <family val="2"/>
          </rPr>
          <t>mvargasb:</t>
        </r>
        <r>
          <rPr>
            <sz val="9"/>
            <color indexed="81"/>
            <rFont val="Tahoma"/>
            <family val="2"/>
          </rPr>
          <t xml:space="preserve">
estimación porcentual con el año 2011
</t>
        </r>
      </text>
    </comment>
    <comment ref="G51" authorId="0" shapeId="0" xr:uid="{4761EC7B-CFD4-460A-97E7-3BFB59FD55FF}">
      <text>
        <r>
          <rPr>
            <b/>
            <sz val="9"/>
            <color indexed="81"/>
            <rFont val="Tahoma"/>
            <family val="2"/>
          </rPr>
          <t>mvargasb:</t>
        </r>
        <r>
          <rPr>
            <sz val="9"/>
            <color indexed="81"/>
            <rFont val="Tahoma"/>
            <family val="2"/>
          </rPr>
          <t xml:space="preserve">
estimación porcentual con el año 2011
</t>
        </r>
      </text>
    </comment>
    <comment ref="H51" authorId="0" shapeId="0" xr:uid="{7FD17A60-6220-4F87-AA10-99EEC66A1988}">
      <text>
        <r>
          <rPr>
            <b/>
            <sz val="9"/>
            <color indexed="81"/>
            <rFont val="Tahoma"/>
            <family val="2"/>
          </rPr>
          <t>mvargasb:</t>
        </r>
        <r>
          <rPr>
            <sz val="9"/>
            <color indexed="81"/>
            <rFont val="Tahoma"/>
            <family val="2"/>
          </rPr>
          <t xml:space="preserve">
estimación porcentual con el año 2011
</t>
        </r>
      </text>
    </comment>
    <comment ref="I51" authorId="0" shapeId="0" xr:uid="{BD92B47D-CC42-4891-9743-081F65B487A7}">
      <text>
        <r>
          <rPr>
            <b/>
            <sz val="9"/>
            <color indexed="81"/>
            <rFont val="Tahoma"/>
            <family val="2"/>
          </rPr>
          <t>mvargasb:</t>
        </r>
        <r>
          <rPr>
            <sz val="9"/>
            <color indexed="81"/>
            <rFont val="Tahoma"/>
            <family val="2"/>
          </rPr>
          <t xml:space="preserve">
estimación porcentual con el año 2011
</t>
        </r>
      </text>
    </comment>
    <comment ref="J51" authorId="0" shapeId="0" xr:uid="{C2DF5B51-E7A0-47A9-A131-8CC651047B28}">
      <text>
        <r>
          <rPr>
            <b/>
            <sz val="9"/>
            <color indexed="81"/>
            <rFont val="Tahoma"/>
            <family val="2"/>
          </rPr>
          <t>mvargasb:</t>
        </r>
        <r>
          <rPr>
            <sz val="9"/>
            <color indexed="81"/>
            <rFont val="Tahoma"/>
            <family val="2"/>
          </rPr>
          <t xml:space="preserve">
estimación porcentual con el año 2011
</t>
        </r>
      </text>
    </comment>
    <comment ref="K51" authorId="0" shapeId="0" xr:uid="{3E635D7A-53CC-4F58-AB69-E6D3263CD003}">
      <text>
        <r>
          <rPr>
            <b/>
            <sz val="9"/>
            <color indexed="81"/>
            <rFont val="Tahoma"/>
            <family val="2"/>
          </rPr>
          <t>mvargasb:</t>
        </r>
        <r>
          <rPr>
            <sz val="9"/>
            <color indexed="81"/>
            <rFont val="Tahoma"/>
            <family val="2"/>
          </rPr>
          <t xml:space="preserve">
estimación porcentual con el año 2011
</t>
        </r>
      </text>
    </comment>
    <comment ref="L51" authorId="0" shapeId="0" xr:uid="{1FD7A845-6F82-4CB5-889C-A149D07484C8}">
      <text>
        <r>
          <rPr>
            <b/>
            <sz val="9"/>
            <color indexed="81"/>
            <rFont val="Tahoma"/>
            <family val="2"/>
          </rPr>
          <t>mvargasb:</t>
        </r>
        <r>
          <rPr>
            <sz val="9"/>
            <color indexed="81"/>
            <rFont val="Tahoma"/>
            <family val="2"/>
          </rPr>
          <t xml:space="preserve">
estimación porcentual con el año 2011
</t>
        </r>
      </text>
    </comment>
    <comment ref="M51" authorId="0" shapeId="0" xr:uid="{08A9EC0F-F235-44D0-8BAE-DD532344B683}">
      <text>
        <r>
          <rPr>
            <b/>
            <sz val="9"/>
            <color indexed="81"/>
            <rFont val="Tahoma"/>
            <family val="2"/>
          </rPr>
          <t>mvargasb:</t>
        </r>
        <r>
          <rPr>
            <sz val="9"/>
            <color indexed="81"/>
            <rFont val="Tahoma"/>
            <family val="2"/>
          </rPr>
          <t xml:space="preserve">
estimación porcentual con el año 2011
</t>
        </r>
      </text>
    </comment>
    <comment ref="C52" authorId="0" shapeId="0" xr:uid="{18179F0F-3C6B-464B-B923-4BAD01DFC6AC}">
      <text>
        <r>
          <rPr>
            <b/>
            <sz val="9"/>
            <color indexed="81"/>
            <rFont val="Tahoma"/>
            <family val="2"/>
          </rPr>
          <t>mvargasb:</t>
        </r>
        <r>
          <rPr>
            <sz val="9"/>
            <color indexed="81"/>
            <rFont val="Tahoma"/>
            <family val="2"/>
          </rPr>
          <t xml:space="preserve">
estimación porcentual con el año 2011
</t>
        </r>
      </text>
    </comment>
    <comment ref="D52" authorId="0" shapeId="0" xr:uid="{24D90A6A-4BAF-468A-B24A-9804E9CBE41F}">
      <text>
        <r>
          <rPr>
            <b/>
            <sz val="9"/>
            <color indexed="81"/>
            <rFont val="Tahoma"/>
            <family val="2"/>
          </rPr>
          <t>mvargasb:</t>
        </r>
        <r>
          <rPr>
            <sz val="9"/>
            <color indexed="81"/>
            <rFont val="Tahoma"/>
            <family val="2"/>
          </rPr>
          <t xml:space="preserve">
estimación porcentual con el año 2011
</t>
        </r>
      </text>
    </comment>
    <comment ref="E52" authorId="0" shapeId="0" xr:uid="{EC1D4EB3-4FEF-40DA-9AD7-42DA1A825893}">
      <text>
        <r>
          <rPr>
            <b/>
            <sz val="9"/>
            <color indexed="81"/>
            <rFont val="Tahoma"/>
            <family val="2"/>
          </rPr>
          <t>mvargasb:</t>
        </r>
        <r>
          <rPr>
            <sz val="9"/>
            <color indexed="81"/>
            <rFont val="Tahoma"/>
            <family val="2"/>
          </rPr>
          <t xml:space="preserve">
estimación porcentual con el año 2011
</t>
        </r>
      </text>
    </comment>
    <comment ref="F52" authorId="0" shapeId="0" xr:uid="{8A0BF5AA-A1C3-43EC-BBBE-2ECE88123104}">
      <text>
        <r>
          <rPr>
            <b/>
            <sz val="9"/>
            <color indexed="81"/>
            <rFont val="Tahoma"/>
            <family val="2"/>
          </rPr>
          <t>mvargasb:</t>
        </r>
        <r>
          <rPr>
            <sz val="9"/>
            <color indexed="81"/>
            <rFont val="Tahoma"/>
            <family val="2"/>
          </rPr>
          <t xml:space="preserve">
estimación porcentual con el año 2011
</t>
        </r>
      </text>
    </comment>
    <comment ref="G52" authorId="0" shapeId="0" xr:uid="{78A02192-CDE5-470E-84C3-F0D1FF57701E}">
      <text>
        <r>
          <rPr>
            <b/>
            <sz val="9"/>
            <color indexed="81"/>
            <rFont val="Tahoma"/>
            <family val="2"/>
          </rPr>
          <t>mvargasb:</t>
        </r>
        <r>
          <rPr>
            <sz val="9"/>
            <color indexed="81"/>
            <rFont val="Tahoma"/>
            <family val="2"/>
          </rPr>
          <t xml:space="preserve">
estimación porcentual con el año 2011
</t>
        </r>
      </text>
    </comment>
    <comment ref="H52" authorId="0" shapeId="0" xr:uid="{9EEA1C38-0228-481E-AE0F-8484CB0D2F1B}">
      <text>
        <r>
          <rPr>
            <b/>
            <sz val="9"/>
            <color indexed="81"/>
            <rFont val="Tahoma"/>
            <family val="2"/>
          </rPr>
          <t>mvargasb:</t>
        </r>
        <r>
          <rPr>
            <sz val="9"/>
            <color indexed="81"/>
            <rFont val="Tahoma"/>
            <family val="2"/>
          </rPr>
          <t xml:space="preserve">
estimación porcentual con el año 2011
</t>
        </r>
      </text>
    </comment>
    <comment ref="I52" authorId="0" shapeId="0" xr:uid="{3CCB1EF4-2028-4152-BEEC-826E6D08F853}">
      <text>
        <r>
          <rPr>
            <b/>
            <sz val="9"/>
            <color indexed="81"/>
            <rFont val="Tahoma"/>
            <family val="2"/>
          </rPr>
          <t>mvargasb:</t>
        </r>
        <r>
          <rPr>
            <sz val="9"/>
            <color indexed="81"/>
            <rFont val="Tahoma"/>
            <family val="2"/>
          </rPr>
          <t xml:space="preserve">
estimación porcentual con el año 2011
</t>
        </r>
      </text>
    </comment>
    <comment ref="J52" authorId="0" shapeId="0" xr:uid="{46142C7B-11C0-4054-AE16-C54EA441E4D1}">
      <text>
        <r>
          <rPr>
            <b/>
            <sz val="9"/>
            <color indexed="81"/>
            <rFont val="Tahoma"/>
            <family val="2"/>
          </rPr>
          <t>mvargasb:</t>
        </r>
        <r>
          <rPr>
            <sz val="9"/>
            <color indexed="81"/>
            <rFont val="Tahoma"/>
            <family val="2"/>
          </rPr>
          <t xml:space="preserve">
estimación porcentual con el año 2011
</t>
        </r>
      </text>
    </comment>
    <comment ref="K52" authorId="0" shapeId="0" xr:uid="{1E522FE5-C1AD-41B7-AC76-05D15FBCA72B}">
      <text>
        <r>
          <rPr>
            <b/>
            <sz val="9"/>
            <color indexed="81"/>
            <rFont val="Tahoma"/>
            <family val="2"/>
          </rPr>
          <t>mvargasb:</t>
        </r>
        <r>
          <rPr>
            <sz val="9"/>
            <color indexed="81"/>
            <rFont val="Tahoma"/>
            <family val="2"/>
          </rPr>
          <t xml:space="preserve">
estimación porcentual con el año 2011
</t>
        </r>
      </text>
    </comment>
    <comment ref="L52" authorId="0" shapeId="0" xr:uid="{67EE9517-F03F-4F80-8CDD-C185C739E7F6}">
      <text>
        <r>
          <rPr>
            <b/>
            <sz val="9"/>
            <color indexed="81"/>
            <rFont val="Tahoma"/>
            <family val="2"/>
          </rPr>
          <t>mvargasb:</t>
        </r>
        <r>
          <rPr>
            <sz val="9"/>
            <color indexed="81"/>
            <rFont val="Tahoma"/>
            <family val="2"/>
          </rPr>
          <t xml:space="preserve">
estimación porcentual con el año 2011
</t>
        </r>
      </text>
    </comment>
    <comment ref="M52" authorId="0" shapeId="0" xr:uid="{C5C07A89-10ED-404D-8A27-D5C9208241C6}">
      <text>
        <r>
          <rPr>
            <b/>
            <sz val="9"/>
            <color indexed="81"/>
            <rFont val="Tahoma"/>
            <family val="2"/>
          </rPr>
          <t>mvargasb:</t>
        </r>
        <r>
          <rPr>
            <sz val="9"/>
            <color indexed="81"/>
            <rFont val="Tahoma"/>
            <family val="2"/>
          </rPr>
          <t xml:space="preserve">
estimación porcentual con el año 2011
</t>
        </r>
      </text>
    </comment>
    <comment ref="C53" authorId="0" shapeId="0" xr:uid="{0B958C94-D66E-42D8-B6AD-67FC44ACF615}">
      <text>
        <r>
          <rPr>
            <b/>
            <sz val="9"/>
            <color indexed="81"/>
            <rFont val="Tahoma"/>
            <family val="2"/>
          </rPr>
          <t>mvargasb:</t>
        </r>
        <r>
          <rPr>
            <sz val="9"/>
            <color indexed="81"/>
            <rFont val="Tahoma"/>
            <family val="2"/>
          </rPr>
          <t xml:space="preserve">
estimación porcentual con el año 2011
</t>
        </r>
      </text>
    </comment>
    <comment ref="D53" authorId="0" shapeId="0" xr:uid="{4EA4E926-3340-4121-9C06-7788E7F507E5}">
      <text>
        <r>
          <rPr>
            <b/>
            <sz val="9"/>
            <color indexed="81"/>
            <rFont val="Tahoma"/>
            <family val="2"/>
          </rPr>
          <t>mvargasb:</t>
        </r>
        <r>
          <rPr>
            <sz val="9"/>
            <color indexed="81"/>
            <rFont val="Tahoma"/>
            <family val="2"/>
          </rPr>
          <t xml:space="preserve">
estimación porcentual con el año 2011
</t>
        </r>
      </text>
    </comment>
    <comment ref="E53" authorId="0" shapeId="0" xr:uid="{03345A6D-BE6C-4B6F-9A2F-4A1359F37FCD}">
      <text>
        <r>
          <rPr>
            <b/>
            <sz val="9"/>
            <color indexed="81"/>
            <rFont val="Tahoma"/>
            <family val="2"/>
          </rPr>
          <t>mvargasb:</t>
        </r>
        <r>
          <rPr>
            <sz val="9"/>
            <color indexed="81"/>
            <rFont val="Tahoma"/>
            <family val="2"/>
          </rPr>
          <t xml:space="preserve">
estimación porcentual con el año 2011
</t>
        </r>
      </text>
    </comment>
    <comment ref="F53" authorId="0" shapeId="0" xr:uid="{1F86CEBD-2B63-49C4-B512-D87DEE2606C3}">
      <text>
        <r>
          <rPr>
            <b/>
            <sz val="9"/>
            <color indexed="81"/>
            <rFont val="Tahoma"/>
            <family val="2"/>
          </rPr>
          <t>mvargasb:</t>
        </r>
        <r>
          <rPr>
            <sz val="9"/>
            <color indexed="81"/>
            <rFont val="Tahoma"/>
            <family val="2"/>
          </rPr>
          <t xml:space="preserve">
estimación porcentual con el año 2011
</t>
        </r>
      </text>
    </comment>
    <comment ref="G53" authorId="0" shapeId="0" xr:uid="{157CCA26-0593-496C-8DA1-E0C5027CEE9D}">
      <text>
        <r>
          <rPr>
            <b/>
            <sz val="9"/>
            <color indexed="81"/>
            <rFont val="Tahoma"/>
            <family val="2"/>
          </rPr>
          <t>mvargasb:</t>
        </r>
        <r>
          <rPr>
            <sz val="9"/>
            <color indexed="81"/>
            <rFont val="Tahoma"/>
            <family val="2"/>
          </rPr>
          <t xml:space="preserve">
estimación porcentual con el año 2011
</t>
        </r>
      </text>
    </comment>
    <comment ref="H53" authorId="0" shapeId="0" xr:uid="{70D50CE9-6023-48C7-9DB1-A59D38BBB977}">
      <text>
        <r>
          <rPr>
            <b/>
            <sz val="9"/>
            <color indexed="81"/>
            <rFont val="Tahoma"/>
            <family val="2"/>
          </rPr>
          <t>mvargasb:</t>
        </r>
        <r>
          <rPr>
            <sz val="9"/>
            <color indexed="81"/>
            <rFont val="Tahoma"/>
            <family val="2"/>
          </rPr>
          <t xml:space="preserve">
estimación porcentual con el año 2011
</t>
        </r>
      </text>
    </comment>
    <comment ref="I53" authorId="0" shapeId="0" xr:uid="{AAD0A692-0E4D-403C-B32F-FEBA62F08C02}">
      <text>
        <r>
          <rPr>
            <b/>
            <sz val="9"/>
            <color indexed="81"/>
            <rFont val="Tahoma"/>
            <family val="2"/>
          </rPr>
          <t>mvargasb:</t>
        </r>
        <r>
          <rPr>
            <sz val="9"/>
            <color indexed="81"/>
            <rFont val="Tahoma"/>
            <family val="2"/>
          </rPr>
          <t xml:space="preserve">
estimación porcentual con el año 2011
</t>
        </r>
      </text>
    </comment>
    <comment ref="J53" authorId="0" shapeId="0" xr:uid="{E6C5CDB2-BEA6-41FA-94E0-8B8483895D2C}">
      <text>
        <r>
          <rPr>
            <b/>
            <sz val="9"/>
            <color indexed="81"/>
            <rFont val="Tahoma"/>
            <family val="2"/>
          </rPr>
          <t>mvargasb:</t>
        </r>
        <r>
          <rPr>
            <sz val="9"/>
            <color indexed="81"/>
            <rFont val="Tahoma"/>
            <family val="2"/>
          </rPr>
          <t xml:space="preserve">
estimación porcentual con el año 2011
</t>
        </r>
      </text>
    </comment>
    <comment ref="K53" authorId="0" shapeId="0" xr:uid="{43EC3C54-5C43-4537-ABE2-21B25914EE08}">
      <text>
        <r>
          <rPr>
            <b/>
            <sz val="9"/>
            <color indexed="81"/>
            <rFont val="Tahoma"/>
            <family val="2"/>
          </rPr>
          <t>mvargasb:</t>
        </r>
        <r>
          <rPr>
            <sz val="9"/>
            <color indexed="81"/>
            <rFont val="Tahoma"/>
            <family val="2"/>
          </rPr>
          <t xml:space="preserve">
estimación porcentual con el año 2011
</t>
        </r>
      </text>
    </comment>
    <comment ref="L53" authorId="0" shapeId="0" xr:uid="{C162CD77-91B3-4C89-B0D9-F88CCB6326F0}">
      <text>
        <r>
          <rPr>
            <b/>
            <sz val="9"/>
            <color indexed="81"/>
            <rFont val="Tahoma"/>
            <family val="2"/>
          </rPr>
          <t>mvargasb:</t>
        </r>
        <r>
          <rPr>
            <sz val="9"/>
            <color indexed="81"/>
            <rFont val="Tahoma"/>
            <family val="2"/>
          </rPr>
          <t xml:space="preserve">
estimación porcentual con el año 2011
</t>
        </r>
      </text>
    </comment>
    <comment ref="M53" authorId="0" shapeId="0" xr:uid="{F6DA5C0C-4060-4F01-B9B6-269886145377}">
      <text>
        <r>
          <rPr>
            <b/>
            <sz val="9"/>
            <color indexed="81"/>
            <rFont val="Tahoma"/>
            <family val="2"/>
          </rPr>
          <t>mvargasb:</t>
        </r>
        <r>
          <rPr>
            <sz val="9"/>
            <color indexed="81"/>
            <rFont val="Tahoma"/>
            <family val="2"/>
          </rPr>
          <t xml:space="preserve">
estimación porcentual con el año 2011
</t>
        </r>
      </text>
    </comment>
    <comment ref="C54" authorId="0" shapeId="0" xr:uid="{7ADB5271-49E9-4764-BD6C-3B2D268D2644}">
      <text>
        <r>
          <rPr>
            <b/>
            <sz val="9"/>
            <color indexed="81"/>
            <rFont val="Tahoma"/>
            <family val="2"/>
          </rPr>
          <t>mvargasb:</t>
        </r>
        <r>
          <rPr>
            <sz val="9"/>
            <color indexed="81"/>
            <rFont val="Tahoma"/>
            <family val="2"/>
          </rPr>
          <t xml:space="preserve">
estimación porcentual con el año 2011
</t>
        </r>
      </text>
    </comment>
    <comment ref="D54" authorId="0" shapeId="0" xr:uid="{CC9B1177-1CDF-43E2-9FB2-B3EDD7E8A61E}">
      <text>
        <r>
          <rPr>
            <b/>
            <sz val="9"/>
            <color indexed="81"/>
            <rFont val="Tahoma"/>
            <family val="2"/>
          </rPr>
          <t>mvargasb:</t>
        </r>
        <r>
          <rPr>
            <sz val="9"/>
            <color indexed="81"/>
            <rFont val="Tahoma"/>
            <family val="2"/>
          </rPr>
          <t xml:space="preserve">
estimación porcentual con el año 2011
</t>
        </r>
      </text>
    </comment>
    <comment ref="E54" authorId="0" shapeId="0" xr:uid="{3F59B628-3580-4CC5-BC0A-81FCDB6B4D69}">
      <text>
        <r>
          <rPr>
            <b/>
            <sz val="9"/>
            <color indexed="81"/>
            <rFont val="Tahoma"/>
            <family val="2"/>
          </rPr>
          <t>mvargasb:</t>
        </r>
        <r>
          <rPr>
            <sz val="9"/>
            <color indexed="81"/>
            <rFont val="Tahoma"/>
            <family val="2"/>
          </rPr>
          <t xml:space="preserve">
estimación porcentual con el año 2011
</t>
        </r>
      </text>
    </comment>
    <comment ref="F54" authorId="0" shapeId="0" xr:uid="{10F2B726-74C6-48B3-A89F-0B906781959B}">
      <text>
        <r>
          <rPr>
            <b/>
            <sz val="9"/>
            <color indexed="81"/>
            <rFont val="Tahoma"/>
            <family val="2"/>
          </rPr>
          <t>mvargasb:</t>
        </r>
        <r>
          <rPr>
            <sz val="9"/>
            <color indexed="81"/>
            <rFont val="Tahoma"/>
            <family val="2"/>
          </rPr>
          <t xml:space="preserve">
estimación porcentual con el año 2011
</t>
        </r>
      </text>
    </comment>
    <comment ref="G54" authorId="0" shapeId="0" xr:uid="{F1ECE10C-AEBF-45FE-8C21-B057F39331B2}">
      <text>
        <r>
          <rPr>
            <b/>
            <sz val="9"/>
            <color indexed="81"/>
            <rFont val="Tahoma"/>
            <family val="2"/>
          </rPr>
          <t>mvargasb:</t>
        </r>
        <r>
          <rPr>
            <sz val="9"/>
            <color indexed="81"/>
            <rFont val="Tahoma"/>
            <family val="2"/>
          </rPr>
          <t xml:space="preserve">
estimación porcentual con el año 2011
</t>
        </r>
      </text>
    </comment>
    <comment ref="H54" authorId="0" shapeId="0" xr:uid="{4FB6B4A4-A9A8-48F3-A566-C85EB0F27F3F}">
      <text>
        <r>
          <rPr>
            <b/>
            <sz val="9"/>
            <color indexed="81"/>
            <rFont val="Tahoma"/>
            <family val="2"/>
          </rPr>
          <t>mvargasb:</t>
        </r>
        <r>
          <rPr>
            <sz val="9"/>
            <color indexed="81"/>
            <rFont val="Tahoma"/>
            <family val="2"/>
          </rPr>
          <t xml:space="preserve">
estimación porcentual con el año 2011
</t>
        </r>
      </text>
    </comment>
    <comment ref="I54" authorId="0" shapeId="0" xr:uid="{C56E4CED-FD80-49DD-9F17-CD5F279B30D1}">
      <text>
        <r>
          <rPr>
            <b/>
            <sz val="9"/>
            <color indexed="81"/>
            <rFont val="Tahoma"/>
            <family val="2"/>
          </rPr>
          <t>mvargasb:</t>
        </r>
        <r>
          <rPr>
            <sz val="9"/>
            <color indexed="81"/>
            <rFont val="Tahoma"/>
            <family val="2"/>
          </rPr>
          <t xml:space="preserve">
estimación porcentual con el año 2011
</t>
        </r>
      </text>
    </comment>
    <comment ref="J54" authorId="0" shapeId="0" xr:uid="{3582516F-CD1B-4533-82D3-7B27C19768F6}">
      <text>
        <r>
          <rPr>
            <b/>
            <sz val="9"/>
            <color indexed="81"/>
            <rFont val="Tahoma"/>
            <family val="2"/>
          </rPr>
          <t>mvargasb:</t>
        </r>
        <r>
          <rPr>
            <sz val="9"/>
            <color indexed="81"/>
            <rFont val="Tahoma"/>
            <family val="2"/>
          </rPr>
          <t xml:space="preserve">
estimación porcentual con el año 2011
</t>
        </r>
      </text>
    </comment>
    <comment ref="K54" authorId="0" shapeId="0" xr:uid="{19E7F960-BA5E-4DF1-A5E0-EB705EDCDF3C}">
      <text>
        <r>
          <rPr>
            <b/>
            <sz val="9"/>
            <color indexed="81"/>
            <rFont val="Tahoma"/>
            <family val="2"/>
          </rPr>
          <t>mvargasb:</t>
        </r>
        <r>
          <rPr>
            <sz val="9"/>
            <color indexed="81"/>
            <rFont val="Tahoma"/>
            <family val="2"/>
          </rPr>
          <t xml:space="preserve">
estimación porcentual con el año 2011
</t>
        </r>
      </text>
    </comment>
    <comment ref="L54" authorId="0" shapeId="0" xr:uid="{613C7778-EF1C-4800-9674-57A26ED37940}">
      <text>
        <r>
          <rPr>
            <b/>
            <sz val="9"/>
            <color indexed="81"/>
            <rFont val="Tahoma"/>
            <family val="2"/>
          </rPr>
          <t>mvargasb:</t>
        </r>
        <r>
          <rPr>
            <sz val="9"/>
            <color indexed="81"/>
            <rFont val="Tahoma"/>
            <family val="2"/>
          </rPr>
          <t xml:space="preserve">
estimación porcentual con el año 2011
</t>
        </r>
      </text>
    </comment>
    <comment ref="M54" authorId="0" shapeId="0" xr:uid="{8AD98229-8B87-4136-A318-CA75C8A93437}">
      <text>
        <r>
          <rPr>
            <b/>
            <sz val="9"/>
            <color indexed="81"/>
            <rFont val="Tahoma"/>
            <family val="2"/>
          </rPr>
          <t>mvargasb:</t>
        </r>
        <r>
          <rPr>
            <sz val="9"/>
            <color indexed="81"/>
            <rFont val="Tahoma"/>
            <family val="2"/>
          </rPr>
          <t xml:space="preserve">
estimación porcentual con el año 2011
</t>
        </r>
      </text>
    </comment>
    <comment ref="C55" authorId="0" shapeId="0" xr:uid="{FA0108B0-B37E-4F64-AAF6-59000B106B18}">
      <text>
        <r>
          <rPr>
            <b/>
            <sz val="9"/>
            <color indexed="81"/>
            <rFont val="Tahoma"/>
            <family val="2"/>
          </rPr>
          <t>mvargasb:</t>
        </r>
        <r>
          <rPr>
            <sz val="9"/>
            <color indexed="81"/>
            <rFont val="Tahoma"/>
            <family val="2"/>
          </rPr>
          <t xml:space="preserve">
estimación porcentual con el año 2011
</t>
        </r>
      </text>
    </comment>
    <comment ref="D55" authorId="0" shapeId="0" xr:uid="{054DD900-8AD9-42E1-A587-9088C092BCEC}">
      <text>
        <r>
          <rPr>
            <b/>
            <sz val="9"/>
            <color indexed="81"/>
            <rFont val="Tahoma"/>
            <family val="2"/>
          </rPr>
          <t>mvargasb:</t>
        </r>
        <r>
          <rPr>
            <sz val="9"/>
            <color indexed="81"/>
            <rFont val="Tahoma"/>
            <family val="2"/>
          </rPr>
          <t xml:space="preserve">
estimación porcentual con el año 2011
</t>
        </r>
      </text>
    </comment>
    <comment ref="E55" authorId="0" shapeId="0" xr:uid="{D26315C6-7D28-4B13-BB3E-6090422991F0}">
      <text>
        <r>
          <rPr>
            <b/>
            <sz val="9"/>
            <color indexed="81"/>
            <rFont val="Tahoma"/>
            <family val="2"/>
          </rPr>
          <t>mvargasb:</t>
        </r>
        <r>
          <rPr>
            <sz val="9"/>
            <color indexed="81"/>
            <rFont val="Tahoma"/>
            <family val="2"/>
          </rPr>
          <t xml:space="preserve">
estimación porcentual con el año 2011
</t>
        </r>
      </text>
    </comment>
    <comment ref="F55" authorId="0" shapeId="0" xr:uid="{9C123566-DDD4-44E9-8FA6-4699B7E8B3D6}">
      <text>
        <r>
          <rPr>
            <b/>
            <sz val="9"/>
            <color indexed="81"/>
            <rFont val="Tahoma"/>
            <family val="2"/>
          </rPr>
          <t>mvargasb:</t>
        </r>
        <r>
          <rPr>
            <sz val="9"/>
            <color indexed="81"/>
            <rFont val="Tahoma"/>
            <family val="2"/>
          </rPr>
          <t xml:space="preserve">
estimación porcentual con el año 2011
</t>
        </r>
      </text>
    </comment>
    <comment ref="G55" authorId="0" shapeId="0" xr:uid="{5BC3E081-9213-4021-892F-FD2007773E70}">
      <text>
        <r>
          <rPr>
            <b/>
            <sz val="9"/>
            <color indexed="81"/>
            <rFont val="Tahoma"/>
            <family val="2"/>
          </rPr>
          <t>mvargasb:</t>
        </r>
        <r>
          <rPr>
            <sz val="9"/>
            <color indexed="81"/>
            <rFont val="Tahoma"/>
            <family val="2"/>
          </rPr>
          <t xml:space="preserve">
estimación porcentual con el año 2011
</t>
        </r>
      </text>
    </comment>
    <comment ref="H55" authorId="0" shapeId="0" xr:uid="{10778A38-E74E-4A7F-B297-9992B18343E7}">
      <text>
        <r>
          <rPr>
            <b/>
            <sz val="9"/>
            <color indexed="81"/>
            <rFont val="Tahoma"/>
            <family val="2"/>
          </rPr>
          <t>mvargasb:</t>
        </r>
        <r>
          <rPr>
            <sz val="9"/>
            <color indexed="81"/>
            <rFont val="Tahoma"/>
            <family val="2"/>
          </rPr>
          <t xml:space="preserve">
estimación porcentual con el año 2011
</t>
        </r>
      </text>
    </comment>
    <comment ref="I55" authorId="0" shapeId="0" xr:uid="{D2756E1C-3597-4928-98B6-3A66EDFA9B6A}">
      <text>
        <r>
          <rPr>
            <b/>
            <sz val="9"/>
            <color indexed="81"/>
            <rFont val="Tahoma"/>
            <family val="2"/>
          </rPr>
          <t>mvargasb:</t>
        </r>
        <r>
          <rPr>
            <sz val="9"/>
            <color indexed="81"/>
            <rFont val="Tahoma"/>
            <family val="2"/>
          </rPr>
          <t xml:space="preserve">
estimación porcentual con el año 2011
</t>
        </r>
      </text>
    </comment>
    <comment ref="J55" authorId="0" shapeId="0" xr:uid="{33B5D33F-B45B-41EE-AC06-85478D1F32E4}">
      <text>
        <r>
          <rPr>
            <b/>
            <sz val="9"/>
            <color indexed="81"/>
            <rFont val="Tahoma"/>
            <family val="2"/>
          </rPr>
          <t>mvargasb:</t>
        </r>
        <r>
          <rPr>
            <sz val="9"/>
            <color indexed="81"/>
            <rFont val="Tahoma"/>
            <family val="2"/>
          </rPr>
          <t xml:space="preserve">
estimación porcentual con el año 2011
</t>
        </r>
      </text>
    </comment>
    <comment ref="K55" authorId="0" shapeId="0" xr:uid="{E863D3CF-CB81-43CC-85A3-3871680C6752}">
      <text>
        <r>
          <rPr>
            <b/>
            <sz val="9"/>
            <color indexed="81"/>
            <rFont val="Tahoma"/>
            <family val="2"/>
          </rPr>
          <t>mvargasb:</t>
        </r>
        <r>
          <rPr>
            <sz val="9"/>
            <color indexed="81"/>
            <rFont val="Tahoma"/>
            <family val="2"/>
          </rPr>
          <t xml:space="preserve">
estimación porcentual con el año 2011
</t>
        </r>
      </text>
    </comment>
    <comment ref="L55" authorId="0" shapeId="0" xr:uid="{BE3A8B03-AA69-47AF-9BBE-F009E7162F2F}">
      <text>
        <r>
          <rPr>
            <b/>
            <sz val="9"/>
            <color indexed="81"/>
            <rFont val="Tahoma"/>
            <family val="2"/>
          </rPr>
          <t>mvargasb:</t>
        </r>
        <r>
          <rPr>
            <sz val="9"/>
            <color indexed="81"/>
            <rFont val="Tahoma"/>
            <family val="2"/>
          </rPr>
          <t xml:space="preserve">
estimación porcentual con el año 2011
</t>
        </r>
      </text>
    </comment>
    <comment ref="M55" authorId="0" shapeId="0" xr:uid="{04AC80E5-6EE1-48F1-9A38-308FF1421385}">
      <text>
        <r>
          <rPr>
            <b/>
            <sz val="9"/>
            <color indexed="81"/>
            <rFont val="Tahoma"/>
            <family val="2"/>
          </rPr>
          <t>mvargasb:</t>
        </r>
        <r>
          <rPr>
            <sz val="9"/>
            <color indexed="81"/>
            <rFont val="Tahoma"/>
            <family val="2"/>
          </rPr>
          <t xml:space="preserve">
estimación porcentual con el año 2011
</t>
        </r>
      </text>
    </comment>
    <comment ref="C56" authorId="0" shapeId="0" xr:uid="{4D4D821B-19D9-4F95-B345-27360FBE8324}">
      <text>
        <r>
          <rPr>
            <b/>
            <sz val="9"/>
            <color indexed="81"/>
            <rFont val="Tahoma"/>
            <family val="2"/>
          </rPr>
          <t>mvargasb:</t>
        </r>
        <r>
          <rPr>
            <sz val="9"/>
            <color indexed="81"/>
            <rFont val="Tahoma"/>
            <family val="2"/>
          </rPr>
          <t xml:space="preserve">
estimación porcentual con el año 2011
</t>
        </r>
      </text>
    </comment>
    <comment ref="D56" authorId="0" shapeId="0" xr:uid="{3F20D8C3-7CA2-4E64-BCD1-FA18EF934701}">
      <text>
        <r>
          <rPr>
            <b/>
            <sz val="9"/>
            <color indexed="81"/>
            <rFont val="Tahoma"/>
            <family val="2"/>
          </rPr>
          <t>mvargasb:</t>
        </r>
        <r>
          <rPr>
            <sz val="9"/>
            <color indexed="81"/>
            <rFont val="Tahoma"/>
            <family val="2"/>
          </rPr>
          <t xml:space="preserve">
estimación porcentual con el año 2011
</t>
        </r>
      </text>
    </comment>
    <comment ref="E56" authorId="0" shapeId="0" xr:uid="{5BECE2DF-8FCB-4C84-8F8B-C0F34D2CC415}">
      <text>
        <r>
          <rPr>
            <b/>
            <sz val="9"/>
            <color indexed="81"/>
            <rFont val="Tahoma"/>
            <family val="2"/>
          </rPr>
          <t>mvargasb:</t>
        </r>
        <r>
          <rPr>
            <sz val="9"/>
            <color indexed="81"/>
            <rFont val="Tahoma"/>
            <family val="2"/>
          </rPr>
          <t xml:space="preserve">
estimación porcentual con el año 2011
</t>
        </r>
      </text>
    </comment>
    <comment ref="F56" authorId="0" shapeId="0" xr:uid="{6A18518E-0F99-421F-8061-11B64547E80E}">
      <text>
        <r>
          <rPr>
            <b/>
            <sz val="9"/>
            <color indexed="81"/>
            <rFont val="Tahoma"/>
            <family val="2"/>
          </rPr>
          <t>mvargasb:</t>
        </r>
        <r>
          <rPr>
            <sz val="9"/>
            <color indexed="81"/>
            <rFont val="Tahoma"/>
            <family val="2"/>
          </rPr>
          <t xml:space="preserve">
estimación porcentual con el año 2011
</t>
        </r>
      </text>
    </comment>
    <comment ref="G56" authorId="0" shapeId="0" xr:uid="{3C9A9207-900D-403D-841A-E7B4334E9A1C}">
      <text>
        <r>
          <rPr>
            <b/>
            <sz val="9"/>
            <color indexed="81"/>
            <rFont val="Tahoma"/>
            <family val="2"/>
          </rPr>
          <t>mvargasb:</t>
        </r>
        <r>
          <rPr>
            <sz val="9"/>
            <color indexed="81"/>
            <rFont val="Tahoma"/>
            <family val="2"/>
          </rPr>
          <t xml:space="preserve">
estimación porcentual con el año 2011
</t>
        </r>
      </text>
    </comment>
    <comment ref="H56" authorId="0" shapeId="0" xr:uid="{C76D008C-820B-4933-99A1-EA030459E806}">
      <text>
        <r>
          <rPr>
            <b/>
            <sz val="9"/>
            <color indexed="81"/>
            <rFont val="Tahoma"/>
            <family val="2"/>
          </rPr>
          <t>mvargasb:</t>
        </r>
        <r>
          <rPr>
            <sz val="9"/>
            <color indexed="81"/>
            <rFont val="Tahoma"/>
            <family val="2"/>
          </rPr>
          <t xml:space="preserve">
estimación porcentual con el año 2011
</t>
        </r>
      </text>
    </comment>
    <comment ref="I56" authorId="0" shapeId="0" xr:uid="{6C774881-B0F8-4267-8BA7-0CF6046C8298}">
      <text>
        <r>
          <rPr>
            <b/>
            <sz val="9"/>
            <color indexed="81"/>
            <rFont val="Tahoma"/>
            <family val="2"/>
          </rPr>
          <t>mvargasb:</t>
        </r>
        <r>
          <rPr>
            <sz val="9"/>
            <color indexed="81"/>
            <rFont val="Tahoma"/>
            <family val="2"/>
          </rPr>
          <t xml:space="preserve">
estimación porcentual con el año 2011
</t>
        </r>
      </text>
    </comment>
    <comment ref="J56" authorId="0" shapeId="0" xr:uid="{48330F77-0B75-4292-9C4C-F666BC94FA46}">
      <text>
        <r>
          <rPr>
            <b/>
            <sz val="9"/>
            <color indexed="81"/>
            <rFont val="Tahoma"/>
            <family val="2"/>
          </rPr>
          <t>mvargasb:</t>
        </r>
        <r>
          <rPr>
            <sz val="9"/>
            <color indexed="81"/>
            <rFont val="Tahoma"/>
            <family val="2"/>
          </rPr>
          <t xml:space="preserve">
estimación porcentual con el año 2011
</t>
        </r>
      </text>
    </comment>
    <comment ref="K56" authorId="0" shapeId="0" xr:uid="{7A4E1C92-AFE0-424F-B01D-C66EEE3B576F}">
      <text>
        <r>
          <rPr>
            <b/>
            <sz val="9"/>
            <color indexed="81"/>
            <rFont val="Tahoma"/>
            <family val="2"/>
          </rPr>
          <t>mvargasb:</t>
        </r>
        <r>
          <rPr>
            <sz val="9"/>
            <color indexed="81"/>
            <rFont val="Tahoma"/>
            <family val="2"/>
          </rPr>
          <t xml:space="preserve">
estimación porcentual con el año 2011
</t>
        </r>
      </text>
    </comment>
    <comment ref="L56" authorId="0" shapeId="0" xr:uid="{0B69ACAB-7A5F-438F-9353-2FC101DF1738}">
      <text>
        <r>
          <rPr>
            <b/>
            <sz val="9"/>
            <color indexed="81"/>
            <rFont val="Tahoma"/>
            <family val="2"/>
          </rPr>
          <t>mvargasb:</t>
        </r>
        <r>
          <rPr>
            <sz val="9"/>
            <color indexed="81"/>
            <rFont val="Tahoma"/>
            <family val="2"/>
          </rPr>
          <t xml:space="preserve">
estimación porcentual con el año 2011
</t>
        </r>
      </text>
    </comment>
    <comment ref="M56" authorId="0" shapeId="0" xr:uid="{C9E69895-6D64-4AF7-BEE9-96A14487150F}">
      <text>
        <r>
          <rPr>
            <b/>
            <sz val="9"/>
            <color indexed="81"/>
            <rFont val="Tahoma"/>
            <family val="2"/>
          </rPr>
          <t>mvargasb:</t>
        </r>
        <r>
          <rPr>
            <sz val="9"/>
            <color indexed="81"/>
            <rFont val="Tahoma"/>
            <family val="2"/>
          </rPr>
          <t xml:space="preserve">
estimación porcentual con el año 2011
</t>
        </r>
      </text>
    </comment>
    <comment ref="C57" authorId="0" shapeId="0" xr:uid="{885E411B-E9A4-4105-80FC-67ECA69DB019}">
      <text>
        <r>
          <rPr>
            <b/>
            <sz val="9"/>
            <color indexed="81"/>
            <rFont val="Tahoma"/>
            <family val="2"/>
          </rPr>
          <t>mvargasb:</t>
        </r>
        <r>
          <rPr>
            <sz val="9"/>
            <color indexed="81"/>
            <rFont val="Tahoma"/>
            <family val="2"/>
          </rPr>
          <t xml:space="preserve">
estimación porcentual con el año 2011
</t>
        </r>
      </text>
    </comment>
    <comment ref="D57" authorId="0" shapeId="0" xr:uid="{B0467792-3C3F-4656-94C7-CB405A83740C}">
      <text>
        <r>
          <rPr>
            <b/>
            <sz val="9"/>
            <color indexed="81"/>
            <rFont val="Tahoma"/>
            <family val="2"/>
          </rPr>
          <t>mvargasb:</t>
        </r>
        <r>
          <rPr>
            <sz val="9"/>
            <color indexed="81"/>
            <rFont val="Tahoma"/>
            <family val="2"/>
          </rPr>
          <t xml:space="preserve">
estimación porcentual con el año 2011
</t>
        </r>
      </text>
    </comment>
    <comment ref="E57" authorId="0" shapeId="0" xr:uid="{0E337EC7-4621-4235-9146-4C54F4BBA358}">
      <text>
        <r>
          <rPr>
            <b/>
            <sz val="9"/>
            <color indexed="81"/>
            <rFont val="Tahoma"/>
            <family val="2"/>
          </rPr>
          <t>mvargasb:</t>
        </r>
        <r>
          <rPr>
            <sz val="9"/>
            <color indexed="81"/>
            <rFont val="Tahoma"/>
            <family val="2"/>
          </rPr>
          <t xml:space="preserve">
estimación porcentual con el año 2011
</t>
        </r>
      </text>
    </comment>
    <comment ref="F57" authorId="0" shapeId="0" xr:uid="{5B277184-22BE-49CE-BFBF-B5D54C9C46F1}">
      <text>
        <r>
          <rPr>
            <b/>
            <sz val="9"/>
            <color indexed="81"/>
            <rFont val="Tahoma"/>
            <family val="2"/>
          </rPr>
          <t>mvargasb:</t>
        </r>
        <r>
          <rPr>
            <sz val="9"/>
            <color indexed="81"/>
            <rFont val="Tahoma"/>
            <family val="2"/>
          </rPr>
          <t xml:space="preserve">
estimación porcentual con el año 2011
</t>
        </r>
      </text>
    </comment>
    <comment ref="G57" authorId="0" shapeId="0" xr:uid="{1CF79B97-4696-41D3-BF08-791E101913CA}">
      <text>
        <r>
          <rPr>
            <b/>
            <sz val="9"/>
            <color indexed="81"/>
            <rFont val="Tahoma"/>
            <family val="2"/>
          </rPr>
          <t>mvargasb:</t>
        </r>
        <r>
          <rPr>
            <sz val="9"/>
            <color indexed="81"/>
            <rFont val="Tahoma"/>
            <family val="2"/>
          </rPr>
          <t xml:space="preserve">
estimación porcentual con el año 2011
</t>
        </r>
      </text>
    </comment>
    <comment ref="H57" authorId="0" shapeId="0" xr:uid="{2C9D5A31-4495-4BE0-A121-9F6AAD5F1AC8}">
      <text>
        <r>
          <rPr>
            <b/>
            <sz val="9"/>
            <color indexed="81"/>
            <rFont val="Tahoma"/>
            <family val="2"/>
          </rPr>
          <t>mvargasb:</t>
        </r>
        <r>
          <rPr>
            <sz val="9"/>
            <color indexed="81"/>
            <rFont val="Tahoma"/>
            <family val="2"/>
          </rPr>
          <t xml:space="preserve">
estimación porcentual con el año 2011
</t>
        </r>
      </text>
    </comment>
    <comment ref="I57" authorId="0" shapeId="0" xr:uid="{B31E0C0D-23ED-406B-94EF-70E75AB31C67}">
      <text>
        <r>
          <rPr>
            <b/>
            <sz val="9"/>
            <color indexed="81"/>
            <rFont val="Tahoma"/>
            <family val="2"/>
          </rPr>
          <t>mvargasb:</t>
        </r>
        <r>
          <rPr>
            <sz val="9"/>
            <color indexed="81"/>
            <rFont val="Tahoma"/>
            <family val="2"/>
          </rPr>
          <t xml:space="preserve">
estimación porcentual con el año 2011
</t>
        </r>
      </text>
    </comment>
    <comment ref="J57" authorId="0" shapeId="0" xr:uid="{D2861FCB-4DC6-45E7-A921-EC4A97FB630A}">
      <text>
        <r>
          <rPr>
            <b/>
            <sz val="9"/>
            <color indexed="81"/>
            <rFont val="Tahoma"/>
            <family val="2"/>
          </rPr>
          <t>mvargasb:</t>
        </r>
        <r>
          <rPr>
            <sz val="9"/>
            <color indexed="81"/>
            <rFont val="Tahoma"/>
            <family val="2"/>
          </rPr>
          <t xml:space="preserve">
estimación porcentual con el año 2011
</t>
        </r>
      </text>
    </comment>
    <comment ref="K57" authorId="0" shapeId="0" xr:uid="{DDD9535B-BF5B-400B-B137-84C430A85B66}">
      <text>
        <r>
          <rPr>
            <b/>
            <sz val="9"/>
            <color indexed="81"/>
            <rFont val="Tahoma"/>
            <family val="2"/>
          </rPr>
          <t>mvargasb:</t>
        </r>
        <r>
          <rPr>
            <sz val="9"/>
            <color indexed="81"/>
            <rFont val="Tahoma"/>
            <family val="2"/>
          </rPr>
          <t xml:space="preserve">
estimación porcentual con el año 2011
</t>
        </r>
      </text>
    </comment>
    <comment ref="L57" authorId="0" shapeId="0" xr:uid="{D5740837-D294-47FD-A371-B7DDB3CDE814}">
      <text>
        <r>
          <rPr>
            <b/>
            <sz val="9"/>
            <color indexed="81"/>
            <rFont val="Tahoma"/>
            <family val="2"/>
          </rPr>
          <t>mvargasb:</t>
        </r>
        <r>
          <rPr>
            <sz val="9"/>
            <color indexed="81"/>
            <rFont val="Tahoma"/>
            <family val="2"/>
          </rPr>
          <t xml:space="preserve">
estimación porcentual con el año 2011
</t>
        </r>
      </text>
    </comment>
    <comment ref="M57" authorId="0" shapeId="0" xr:uid="{03E7EE6C-F228-4022-9922-27A4C0529A05}">
      <text>
        <r>
          <rPr>
            <b/>
            <sz val="9"/>
            <color indexed="81"/>
            <rFont val="Tahoma"/>
            <family val="2"/>
          </rPr>
          <t>mvargasb:</t>
        </r>
        <r>
          <rPr>
            <sz val="9"/>
            <color indexed="81"/>
            <rFont val="Tahoma"/>
            <family val="2"/>
          </rPr>
          <t xml:space="preserve">
estimación porcentual con el año 2011
</t>
        </r>
      </text>
    </comment>
    <comment ref="C58" authorId="0" shapeId="0" xr:uid="{D666B131-62CE-4BE2-B5B4-BE1444265FA2}">
      <text>
        <r>
          <rPr>
            <b/>
            <sz val="9"/>
            <color indexed="81"/>
            <rFont val="Tahoma"/>
            <family val="2"/>
          </rPr>
          <t>mvargasb:</t>
        </r>
        <r>
          <rPr>
            <sz val="9"/>
            <color indexed="81"/>
            <rFont val="Tahoma"/>
            <family val="2"/>
          </rPr>
          <t xml:space="preserve">
estimación porcentual con el año 2011
</t>
        </r>
      </text>
    </comment>
    <comment ref="D58" authorId="0" shapeId="0" xr:uid="{CFC513C9-7F3C-4A1F-9226-575D3FF73389}">
      <text>
        <r>
          <rPr>
            <b/>
            <sz val="9"/>
            <color indexed="81"/>
            <rFont val="Tahoma"/>
            <family val="2"/>
          </rPr>
          <t>mvargasb:</t>
        </r>
        <r>
          <rPr>
            <sz val="9"/>
            <color indexed="81"/>
            <rFont val="Tahoma"/>
            <family val="2"/>
          </rPr>
          <t xml:space="preserve">
estimación porcentual con el año 2011
</t>
        </r>
      </text>
    </comment>
    <comment ref="E58" authorId="0" shapeId="0" xr:uid="{7FB9593F-CD8E-4D20-91E2-12F74D97B7C9}">
      <text>
        <r>
          <rPr>
            <b/>
            <sz val="9"/>
            <color indexed="81"/>
            <rFont val="Tahoma"/>
            <family val="2"/>
          </rPr>
          <t>mvargasb:</t>
        </r>
        <r>
          <rPr>
            <sz val="9"/>
            <color indexed="81"/>
            <rFont val="Tahoma"/>
            <family val="2"/>
          </rPr>
          <t xml:space="preserve">
estimación porcentual con el año 2011
</t>
        </r>
      </text>
    </comment>
    <comment ref="F58" authorId="0" shapeId="0" xr:uid="{E977BABB-1D83-438D-9B11-2C8B8FD2085A}">
      <text>
        <r>
          <rPr>
            <b/>
            <sz val="9"/>
            <color indexed="81"/>
            <rFont val="Tahoma"/>
            <family val="2"/>
          </rPr>
          <t>mvargasb:</t>
        </r>
        <r>
          <rPr>
            <sz val="9"/>
            <color indexed="81"/>
            <rFont val="Tahoma"/>
            <family val="2"/>
          </rPr>
          <t xml:space="preserve">
estimación porcentual con el año 2011
</t>
        </r>
      </text>
    </comment>
    <comment ref="G58" authorId="0" shapeId="0" xr:uid="{65C78B6B-5DDC-4A2A-92F3-44F37790C421}">
      <text>
        <r>
          <rPr>
            <b/>
            <sz val="9"/>
            <color indexed="81"/>
            <rFont val="Tahoma"/>
            <family val="2"/>
          </rPr>
          <t>mvargasb:</t>
        </r>
        <r>
          <rPr>
            <sz val="9"/>
            <color indexed="81"/>
            <rFont val="Tahoma"/>
            <family val="2"/>
          </rPr>
          <t xml:space="preserve">
estimación porcentual con el año 2011
</t>
        </r>
      </text>
    </comment>
    <comment ref="H58" authorId="0" shapeId="0" xr:uid="{2BBEC4D2-BA32-4052-96BB-135620E13D07}">
      <text>
        <r>
          <rPr>
            <b/>
            <sz val="9"/>
            <color indexed="81"/>
            <rFont val="Tahoma"/>
            <family val="2"/>
          </rPr>
          <t>mvargasb:</t>
        </r>
        <r>
          <rPr>
            <sz val="9"/>
            <color indexed="81"/>
            <rFont val="Tahoma"/>
            <family val="2"/>
          </rPr>
          <t xml:space="preserve">
estimación porcentual con el año 2011
</t>
        </r>
      </text>
    </comment>
    <comment ref="I58" authorId="0" shapeId="0" xr:uid="{65DBB0DF-1828-4EE8-8FB9-844E7F150C7C}">
      <text>
        <r>
          <rPr>
            <b/>
            <sz val="9"/>
            <color indexed="81"/>
            <rFont val="Tahoma"/>
            <family val="2"/>
          </rPr>
          <t>mvargasb:</t>
        </r>
        <r>
          <rPr>
            <sz val="9"/>
            <color indexed="81"/>
            <rFont val="Tahoma"/>
            <family val="2"/>
          </rPr>
          <t xml:space="preserve">
estimación porcentual con el año 2011
</t>
        </r>
      </text>
    </comment>
    <comment ref="J58" authorId="0" shapeId="0" xr:uid="{ED6A7FAF-CA9E-44F7-A14F-D7993893A694}">
      <text>
        <r>
          <rPr>
            <b/>
            <sz val="9"/>
            <color indexed="81"/>
            <rFont val="Tahoma"/>
            <family val="2"/>
          </rPr>
          <t>mvargasb:</t>
        </r>
        <r>
          <rPr>
            <sz val="9"/>
            <color indexed="81"/>
            <rFont val="Tahoma"/>
            <family val="2"/>
          </rPr>
          <t xml:space="preserve">
estimación porcentual con el año 2011
</t>
        </r>
      </text>
    </comment>
    <comment ref="K58" authorId="0" shapeId="0" xr:uid="{D58B9E03-84E5-4F3B-A05F-4CFEC25C52FB}">
      <text>
        <r>
          <rPr>
            <b/>
            <sz val="9"/>
            <color indexed="81"/>
            <rFont val="Tahoma"/>
            <family val="2"/>
          </rPr>
          <t>mvargasb:</t>
        </r>
        <r>
          <rPr>
            <sz val="9"/>
            <color indexed="81"/>
            <rFont val="Tahoma"/>
            <family val="2"/>
          </rPr>
          <t xml:space="preserve">
estimación porcentual con el año 2011
</t>
        </r>
      </text>
    </comment>
    <comment ref="L58" authorId="0" shapeId="0" xr:uid="{F5F50150-BEEE-416A-9534-ED8367987DE3}">
      <text>
        <r>
          <rPr>
            <b/>
            <sz val="9"/>
            <color indexed="81"/>
            <rFont val="Tahoma"/>
            <family val="2"/>
          </rPr>
          <t>mvargasb:</t>
        </r>
        <r>
          <rPr>
            <sz val="9"/>
            <color indexed="81"/>
            <rFont val="Tahoma"/>
            <family val="2"/>
          </rPr>
          <t xml:space="preserve">
estimación porcentual con el año 2011
</t>
        </r>
      </text>
    </comment>
    <comment ref="M58" authorId="0" shapeId="0" xr:uid="{AF5C5563-790A-408E-94AA-3D6788550FAA}">
      <text>
        <r>
          <rPr>
            <b/>
            <sz val="9"/>
            <color indexed="81"/>
            <rFont val="Tahoma"/>
            <family val="2"/>
          </rPr>
          <t>mvargasb:</t>
        </r>
        <r>
          <rPr>
            <sz val="9"/>
            <color indexed="81"/>
            <rFont val="Tahoma"/>
            <family val="2"/>
          </rPr>
          <t xml:space="preserve">
estimación porcentual con el año 2011
</t>
        </r>
      </text>
    </comment>
    <comment ref="C59" authorId="0" shapeId="0" xr:uid="{C5818F20-4D6F-477F-B60F-C3007A5A47D2}">
      <text>
        <r>
          <rPr>
            <b/>
            <sz val="9"/>
            <color indexed="81"/>
            <rFont val="Tahoma"/>
            <family val="2"/>
          </rPr>
          <t>mvargasb:</t>
        </r>
        <r>
          <rPr>
            <sz val="9"/>
            <color indexed="81"/>
            <rFont val="Tahoma"/>
            <family val="2"/>
          </rPr>
          <t xml:space="preserve">
estimación porcentual con el año 2011
</t>
        </r>
      </text>
    </comment>
    <comment ref="D59" authorId="0" shapeId="0" xr:uid="{B9BB7A4B-5AE5-4D20-A61F-A39B27CEA4CE}">
      <text>
        <r>
          <rPr>
            <b/>
            <sz val="9"/>
            <color indexed="81"/>
            <rFont val="Tahoma"/>
            <family val="2"/>
          </rPr>
          <t>mvargasb:</t>
        </r>
        <r>
          <rPr>
            <sz val="9"/>
            <color indexed="81"/>
            <rFont val="Tahoma"/>
            <family val="2"/>
          </rPr>
          <t xml:space="preserve">
estimación porcentual con el año 2011
</t>
        </r>
      </text>
    </comment>
    <comment ref="E59" authorId="0" shapeId="0" xr:uid="{26F55BD1-C3AF-47A3-BB62-662C185ADB30}">
      <text>
        <r>
          <rPr>
            <b/>
            <sz val="9"/>
            <color indexed="81"/>
            <rFont val="Tahoma"/>
            <family val="2"/>
          </rPr>
          <t>mvargasb:</t>
        </r>
        <r>
          <rPr>
            <sz val="9"/>
            <color indexed="81"/>
            <rFont val="Tahoma"/>
            <family val="2"/>
          </rPr>
          <t xml:space="preserve">
estimación porcentual con el año 2011
</t>
        </r>
      </text>
    </comment>
    <comment ref="F59" authorId="0" shapeId="0" xr:uid="{B1B81A00-2739-4155-99E2-F85F39BF674B}">
      <text>
        <r>
          <rPr>
            <b/>
            <sz val="9"/>
            <color indexed="81"/>
            <rFont val="Tahoma"/>
            <family val="2"/>
          </rPr>
          <t>mvargasb:</t>
        </r>
        <r>
          <rPr>
            <sz val="9"/>
            <color indexed="81"/>
            <rFont val="Tahoma"/>
            <family val="2"/>
          </rPr>
          <t xml:space="preserve">
estimación porcentual con el año 2011
</t>
        </r>
      </text>
    </comment>
    <comment ref="G59" authorId="0" shapeId="0" xr:uid="{5099A844-45B9-40AE-8E40-B7A7F8C03F66}">
      <text>
        <r>
          <rPr>
            <b/>
            <sz val="9"/>
            <color indexed="81"/>
            <rFont val="Tahoma"/>
            <family val="2"/>
          </rPr>
          <t>mvargasb:</t>
        </r>
        <r>
          <rPr>
            <sz val="9"/>
            <color indexed="81"/>
            <rFont val="Tahoma"/>
            <family val="2"/>
          </rPr>
          <t xml:space="preserve">
estimación porcentual con el año 2011
</t>
        </r>
      </text>
    </comment>
    <comment ref="H59" authorId="0" shapeId="0" xr:uid="{21265ADF-C4D5-4D71-9A52-B6B5E5F74275}">
      <text>
        <r>
          <rPr>
            <b/>
            <sz val="9"/>
            <color indexed="81"/>
            <rFont val="Tahoma"/>
            <family val="2"/>
          </rPr>
          <t>mvargasb:</t>
        </r>
        <r>
          <rPr>
            <sz val="9"/>
            <color indexed="81"/>
            <rFont val="Tahoma"/>
            <family val="2"/>
          </rPr>
          <t xml:space="preserve">
estimación porcentual con el año 2011
</t>
        </r>
      </text>
    </comment>
    <comment ref="I59" authorId="0" shapeId="0" xr:uid="{7C4420D8-29A1-4A42-A59F-4E17BFBD0613}">
      <text>
        <r>
          <rPr>
            <b/>
            <sz val="9"/>
            <color indexed="81"/>
            <rFont val="Tahoma"/>
            <family val="2"/>
          </rPr>
          <t>mvargasb:</t>
        </r>
        <r>
          <rPr>
            <sz val="9"/>
            <color indexed="81"/>
            <rFont val="Tahoma"/>
            <family val="2"/>
          </rPr>
          <t xml:space="preserve">
estimación porcentual con el año 2011
</t>
        </r>
      </text>
    </comment>
    <comment ref="J59" authorId="0" shapeId="0" xr:uid="{23339C0F-E214-4D3E-BE3B-61EC1D1D6F9B}">
      <text>
        <r>
          <rPr>
            <b/>
            <sz val="9"/>
            <color indexed="81"/>
            <rFont val="Tahoma"/>
            <family val="2"/>
          </rPr>
          <t>mvargasb:</t>
        </r>
        <r>
          <rPr>
            <sz val="9"/>
            <color indexed="81"/>
            <rFont val="Tahoma"/>
            <family val="2"/>
          </rPr>
          <t xml:space="preserve">
estimación porcentual con el año 2011
</t>
        </r>
      </text>
    </comment>
    <comment ref="K59" authorId="0" shapeId="0" xr:uid="{CA9DE774-4848-43BD-A435-BE583B115349}">
      <text>
        <r>
          <rPr>
            <b/>
            <sz val="9"/>
            <color indexed="81"/>
            <rFont val="Tahoma"/>
            <family val="2"/>
          </rPr>
          <t>mvargasb:</t>
        </r>
        <r>
          <rPr>
            <sz val="9"/>
            <color indexed="81"/>
            <rFont val="Tahoma"/>
            <family val="2"/>
          </rPr>
          <t xml:space="preserve">
estimación porcentual con el año 2011
</t>
        </r>
      </text>
    </comment>
    <comment ref="L59" authorId="0" shapeId="0" xr:uid="{1F38732F-133D-4A73-8BB6-722924F5B804}">
      <text>
        <r>
          <rPr>
            <b/>
            <sz val="9"/>
            <color indexed="81"/>
            <rFont val="Tahoma"/>
            <family val="2"/>
          </rPr>
          <t>mvargasb:</t>
        </r>
        <r>
          <rPr>
            <sz val="9"/>
            <color indexed="81"/>
            <rFont val="Tahoma"/>
            <family val="2"/>
          </rPr>
          <t xml:space="preserve">
estimación porcentual con el año 2011
</t>
        </r>
      </text>
    </comment>
    <comment ref="M59" authorId="0" shapeId="0" xr:uid="{4D36E859-040C-41EE-ADA9-C56E4AC1F96A}">
      <text>
        <r>
          <rPr>
            <b/>
            <sz val="9"/>
            <color indexed="81"/>
            <rFont val="Tahoma"/>
            <family val="2"/>
          </rPr>
          <t>mvargasb:</t>
        </r>
        <r>
          <rPr>
            <sz val="9"/>
            <color indexed="81"/>
            <rFont val="Tahoma"/>
            <family val="2"/>
          </rPr>
          <t xml:space="preserve">
estimación porcentual con el año 2011
</t>
        </r>
      </text>
    </comment>
    <comment ref="C60" authorId="0" shapeId="0" xr:uid="{7165D1D4-E213-447F-A526-CD9FF273FC47}">
      <text>
        <r>
          <rPr>
            <b/>
            <sz val="9"/>
            <color indexed="81"/>
            <rFont val="Tahoma"/>
            <family val="2"/>
          </rPr>
          <t>mvargasb:</t>
        </r>
        <r>
          <rPr>
            <sz val="9"/>
            <color indexed="81"/>
            <rFont val="Tahoma"/>
            <family val="2"/>
          </rPr>
          <t xml:space="preserve">
estimación porcentual con el año 2011
</t>
        </r>
      </text>
    </comment>
    <comment ref="D60" authorId="0" shapeId="0" xr:uid="{9A5CD88A-E65D-4A44-9E00-B07FA010604C}">
      <text>
        <r>
          <rPr>
            <b/>
            <sz val="9"/>
            <color indexed="81"/>
            <rFont val="Tahoma"/>
            <family val="2"/>
          </rPr>
          <t>mvargasb:</t>
        </r>
        <r>
          <rPr>
            <sz val="9"/>
            <color indexed="81"/>
            <rFont val="Tahoma"/>
            <family val="2"/>
          </rPr>
          <t xml:space="preserve">
estimación porcentual con el año 2011
</t>
        </r>
      </text>
    </comment>
    <comment ref="E60" authorId="0" shapeId="0" xr:uid="{F274D388-4973-4794-968F-0CE23788D72E}">
      <text>
        <r>
          <rPr>
            <b/>
            <sz val="9"/>
            <color indexed="81"/>
            <rFont val="Tahoma"/>
            <family val="2"/>
          </rPr>
          <t>mvargasb:</t>
        </r>
        <r>
          <rPr>
            <sz val="9"/>
            <color indexed="81"/>
            <rFont val="Tahoma"/>
            <family val="2"/>
          </rPr>
          <t xml:space="preserve">
estimación porcentual con el año 2011
</t>
        </r>
      </text>
    </comment>
    <comment ref="F60" authorId="0" shapeId="0" xr:uid="{3EE0411C-7D87-4414-961B-74F4800E7DA6}">
      <text>
        <r>
          <rPr>
            <b/>
            <sz val="9"/>
            <color indexed="81"/>
            <rFont val="Tahoma"/>
            <family val="2"/>
          </rPr>
          <t>mvargasb:</t>
        </r>
        <r>
          <rPr>
            <sz val="9"/>
            <color indexed="81"/>
            <rFont val="Tahoma"/>
            <family val="2"/>
          </rPr>
          <t xml:space="preserve">
estimación porcentual con el año 2011
</t>
        </r>
      </text>
    </comment>
    <comment ref="G60" authorId="0" shapeId="0" xr:uid="{864EB1FD-9A76-47E2-8B43-B42E66C2DE06}">
      <text>
        <r>
          <rPr>
            <b/>
            <sz val="9"/>
            <color indexed="81"/>
            <rFont val="Tahoma"/>
            <family val="2"/>
          </rPr>
          <t>mvargasb:</t>
        </r>
        <r>
          <rPr>
            <sz val="9"/>
            <color indexed="81"/>
            <rFont val="Tahoma"/>
            <family val="2"/>
          </rPr>
          <t xml:space="preserve">
estimación porcentual con el año 2011
</t>
        </r>
      </text>
    </comment>
    <comment ref="H60" authorId="0" shapeId="0" xr:uid="{BC9D38C3-0F8C-4A09-A4E8-4131032A660A}">
      <text>
        <r>
          <rPr>
            <b/>
            <sz val="9"/>
            <color indexed="81"/>
            <rFont val="Tahoma"/>
            <family val="2"/>
          </rPr>
          <t>mvargasb:</t>
        </r>
        <r>
          <rPr>
            <sz val="9"/>
            <color indexed="81"/>
            <rFont val="Tahoma"/>
            <family val="2"/>
          </rPr>
          <t xml:space="preserve">
estimación porcentual con el año 2011
</t>
        </r>
      </text>
    </comment>
    <comment ref="I60" authorId="0" shapeId="0" xr:uid="{F2109122-3CD8-4213-B4B8-A2C012FCBD81}">
      <text>
        <r>
          <rPr>
            <b/>
            <sz val="9"/>
            <color indexed="81"/>
            <rFont val="Tahoma"/>
            <family val="2"/>
          </rPr>
          <t>mvargasb:</t>
        </r>
        <r>
          <rPr>
            <sz val="9"/>
            <color indexed="81"/>
            <rFont val="Tahoma"/>
            <family val="2"/>
          </rPr>
          <t xml:space="preserve">
estimación porcentual con el año 2011
</t>
        </r>
      </text>
    </comment>
    <comment ref="J60" authorId="0" shapeId="0" xr:uid="{34231209-B200-432A-BF6E-56328533B454}">
      <text>
        <r>
          <rPr>
            <b/>
            <sz val="9"/>
            <color indexed="81"/>
            <rFont val="Tahoma"/>
            <family val="2"/>
          </rPr>
          <t>mvargasb:</t>
        </r>
        <r>
          <rPr>
            <sz val="9"/>
            <color indexed="81"/>
            <rFont val="Tahoma"/>
            <family val="2"/>
          </rPr>
          <t xml:space="preserve">
estimación porcentual con el año 2011
</t>
        </r>
      </text>
    </comment>
    <comment ref="K60" authorId="0" shapeId="0" xr:uid="{E912BB51-1D35-45D3-B204-2F92FCC66A39}">
      <text>
        <r>
          <rPr>
            <b/>
            <sz val="9"/>
            <color indexed="81"/>
            <rFont val="Tahoma"/>
            <family val="2"/>
          </rPr>
          <t>mvargasb:</t>
        </r>
        <r>
          <rPr>
            <sz val="9"/>
            <color indexed="81"/>
            <rFont val="Tahoma"/>
            <family val="2"/>
          </rPr>
          <t xml:space="preserve">
estimación porcentual con el año 2011
</t>
        </r>
      </text>
    </comment>
    <comment ref="L60" authorId="0" shapeId="0" xr:uid="{8FFE81EF-61A9-49D7-8A2D-9A96C52FAEAA}">
      <text>
        <r>
          <rPr>
            <b/>
            <sz val="9"/>
            <color indexed="81"/>
            <rFont val="Tahoma"/>
            <family val="2"/>
          </rPr>
          <t>mvargasb:</t>
        </r>
        <r>
          <rPr>
            <sz val="9"/>
            <color indexed="81"/>
            <rFont val="Tahoma"/>
            <family val="2"/>
          </rPr>
          <t xml:space="preserve">
estimación porcentual con el año 2011
</t>
        </r>
      </text>
    </comment>
    <comment ref="M60" authorId="0" shapeId="0" xr:uid="{382FDFEB-08ED-4956-BC3D-87B483882F1F}">
      <text>
        <r>
          <rPr>
            <b/>
            <sz val="9"/>
            <color indexed="81"/>
            <rFont val="Tahoma"/>
            <family val="2"/>
          </rPr>
          <t>mvargasb:</t>
        </r>
        <r>
          <rPr>
            <sz val="9"/>
            <color indexed="81"/>
            <rFont val="Tahoma"/>
            <family val="2"/>
          </rPr>
          <t xml:space="preserve">
estimación porcentual con el año 2011
</t>
        </r>
      </text>
    </comment>
    <comment ref="C61" authorId="0" shapeId="0" xr:uid="{A3810750-B097-4D6D-8571-AD524679124E}">
      <text>
        <r>
          <rPr>
            <b/>
            <sz val="9"/>
            <color indexed="81"/>
            <rFont val="Tahoma"/>
            <family val="2"/>
          </rPr>
          <t>mvargasb:</t>
        </r>
        <r>
          <rPr>
            <sz val="9"/>
            <color indexed="81"/>
            <rFont val="Tahoma"/>
            <family val="2"/>
          </rPr>
          <t xml:space="preserve">
estimación porcentual con el año 2011
</t>
        </r>
      </text>
    </comment>
    <comment ref="D61" authorId="0" shapeId="0" xr:uid="{FE315ED3-0A10-47F5-9845-EA960A20B8B6}">
      <text>
        <r>
          <rPr>
            <b/>
            <sz val="9"/>
            <color indexed="81"/>
            <rFont val="Tahoma"/>
            <family val="2"/>
          </rPr>
          <t>mvargasb:</t>
        </r>
        <r>
          <rPr>
            <sz val="9"/>
            <color indexed="81"/>
            <rFont val="Tahoma"/>
            <family val="2"/>
          </rPr>
          <t xml:space="preserve">
estimación porcentual con el año 2011
</t>
        </r>
      </text>
    </comment>
    <comment ref="E61" authorId="0" shapeId="0" xr:uid="{F1ACB2B5-E0FB-4DD6-A8CD-0F2C63A28268}">
      <text>
        <r>
          <rPr>
            <b/>
            <sz val="9"/>
            <color indexed="81"/>
            <rFont val="Tahoma"/>
            <family val="2"/>
          </rPr>
          <t>mvargasb:</t>
        </r>
        <r>
          <rPr>
            <sz val="9"/>
            <color indexed="81"/>
            <rFont val="Tahoma"/>
            <family val="2"/>
          </rPr>
          <t xml:space="preserve">
estimación porcentual con el año 2011
</t>
        </r>
      </text>
    </comment>
    <comment ref="F61" authorId="0" shapeId="0" xr:uid="{1A1AB0B5-DA2C-4EBE-B906-B4E3FAA43722}">
      <text>
        <r>
          <rPr>
            <b/>
            <sz val="9"/>
            <color indexed="81"/>
            <rFont val="Tahoma"/>
            <family val="2"/>
          </rPr>
          <t>mvargasb:</t>
        </r>
        <r>
          <rPr>
            <sz val="9"/>
            <color indexed="81"/>
            <rFont val="Tahoma"/>
            <family val="2"/>
          </rPr>
          <t xml:space="preserve">
estimación porcentual con el año 2011
</t>
        </r>
      </text>
    </comment>
    <comment ref="G61" authorId="0" shapeId="0" xr:uid="{E93D32E6-4ACE-4AA4-85E0-C20D3B36EECE}">
      <text>
        <r>
          <rPr>
            <b/>
            <sz val="9"/>
            <color indexed="81"/>
            <rFont val="Tahoma"/>
            <family val="2"/>
          </rPr>
          <t>mvargasb:</t>
        </r>
        <r>
          <rPr>
            <sz val="9"/>
            <color indexed="81"/>
            <rFont val="Tahoma"/>
            <family val="2"/>
          </rPr>
          <t xml:space="preserve">
estimación porcentual con el año 2011
</t>
        </r>
      </text>
    </comment>
    <comment ref="H61" authorId="0" shapeId="0" xr:uid="{5B6E1C02-68D5-4E76-92CF-C3D2239B1B76}">
      <text>
        <r>
          <rPr>
            <b/>
            <sz val="9"/>
            <color indexed="81"/>
            <rFont val="Tahoma"/>
            <family val="2"/>
          </rPr>
          <t>mvargasb:</t>
        </r>
        <r>
          <rPr>
            <sz val="9"/>
            <color indexed="81"/>
            <rFont val="Tahoma"/>
            <family val="2"/>
          </rPr>
          <t xml:space="preserve">
estimación porcentual con el año 2011
</t>
        </r>
      </text>
    </comment>
    <comment ref="I61" authorId="0" shapeId="0" xr:uid="{79C0C4BF-F55D-4A5C-8598-89CCD38938C1}">
      <text>
        <r>
          <rPr>
            <b/>
            <sz val="9"/>
            <color indexed="81"/>
            <rFont val="Tahoma"/>
            <family val="2"/>
          </rPr>
          <t>mvargasb:</t>
        </r>
        <r>
          <rPr>
            <sz val="9"/>
            <color indexed="81"/>
            <rFont val="Tahoma"/>
            <family val="2"/>
          </rPr>
          <t xml:space="preserve">
estimación porcentual con el año 2011
</t>
        </r>
      </text>
    </comment>
    <comment ref="J61" authorId="0" shapeId="0" xr:uid="{B7DBC8EA-7FBB-4209-886E-F58B150708E9}">
      <text>
        <r>
          <rPr>
            <b/>
            <sz val="9"/>
            <color indexed="81"/>
            <rFont val="Tahoma"/>
            <family val="2"/>
          </rPr>
          <t>mvargasb:</t>
        </r>
        <r>
          <rPr>
            <sz val="9"/>
            <color indexed="81"/>
            <rFont val="Tahoma"/>
            <family val="2"/>
          </rPr>
          <t xml:space="preserve">
estimación porcentual con el año 2011
</t>
        </r>
      </text>
    </comment>
    <comment ref="K61" authorId="0" shapeId="0" xr:uid="{1875E36C-DAB5-4C48-82BA-CD568DA5791B}">
      <text>
        <r>
          <rPr>
            <b/>
            <sz val="9"/>
            <color indexed="81"/>
            <rFont val="Tahoma"/>
            <family val="2"/>
          </rPr>
          <t>mvargasb:</t>
        </r>
        <r>
          <rPr>
            <sz val="9"/>
            <color indexed="81"/>
            <rFont val="Tahoma"/>
            <family val="2"/>
          </rPr>
          <t xml:space="preserve">
estimación porcentual con el año 2011
</t>
        </r>
      </text>
    </comment>
    <comment ref="L61" authorId="0" shapeId="0" xr:uid="{8EF503E1-8496-4599-B148-6E40B1D5D82E}">
      <text>
        <r>
          <rPr>
            <b/>
            <sz val="9"/>
            <color indexed="81"/>
            <rFont val="Tahoma"/>
            <family val="2"/>
          </rPr>
          <t>mvargasb:</t>
        </r>
        <r>
          <rPr>
            <sz val="9"/>
            <color indexed="81"/>
            <rFont val="Tahoma"/>
            <family val="2"/>
          </rPr>
          <t xml:space="preserve">
estimación porcentual con el año 2011
</t>
        </r>
      </text>
    </comment>
    <comment ref="M61" authorId="0" shapeId="0" xr:uid="{015046AC-51D9-4AC9-AC5A-7545D397EA46}">
      <text>
        <r>
          <rPr>
            <b/>
            <sz val="9"/>
            <color indexed="81"/>
            <rFont val="Tahoma"/>
            <family val="2"/>
          </rPr>
          <t>mvargasb:</t>
        </r>
        <r>
          <rPr>
            <sz val="9"/>
            <color indexed="81"/>
            <rFont val="Tahoma"/>
            <family val="2"/>
          </rPr>
          <t xml:space="preserve">
estimación porcentual con el año 2011
</t>
        </r>
      </text>
    </comment>
    <comment ref="C62" authorId="0" shapeId="0" xr:uid="{F9441F01-3680-43CE-9592-A22DF968171E}">
      <text>
        <r>
          <rPr>
            <b/>
            <sz val="9"/>
            <color indexed="81"/>
            <rFont val="Tahoma"/>
            <family val="2"/>
          </rPr>
          <t>mvargasb:</t>
        </r>
        <r>
          <rPr>
            <sz val="9"/>
            <color indexed="81"/>
            <rFont val="Tahoma"/>
            <family val="2"/>
          </rPr>
          <t xml:space="preserve">
estimación porcentual con el año 2011
</t>
        </r>
      </text>
    </comment>
    <comment ref="D62" authorId="0" shapeId="0" xr:uid="{632A5E06-84B4-4EE6-BB68-2CDA7BB90ABD}">
      <text>
        <r>
          <rPr>
            <b/>
            <sz val="9"/>
            <color indexed="81"/>
            <rFont val="Tahoma"/>
            <family val="2"/>
          </rPr>
          <t>mvargasb:</t>
        </r>
        <r>
          <rPr>
            <sz val="9"/>
            <color indexed="81"/>
            <rFont val="Tahoma"/>
            <family val="2"/>
          </rPr>
          <t xml:space="preserve">
estimación porcentual con el año 2011
</t>
        </r>
      </text>
    </comment>
    <comment ref="E62" authorId="0" shapeId="0" xr:uid="{D811A7A8-9349-4111-B453-B5F963383EFA}">
      <text>
        <r>
          <rPr>
            <b/>
            <sz val="9"/>
            <color indexed="81"/>
            <rFont val="Tahoma"/>
            <family val="2"/>
          </rPr>
          <t>mvargasb:</t>
        </r>
        <r>
          <rPr>
            <sz val="9"/>
            <color indexed="81"/>
            <rFont val="Tahoma"/>
            <family val="2"/>
          </rPr>
          <t xml:space="preserve">
estimación porcentual con el año 2011
</t>
        </r>
      </text>
    </comment>
    <comment ref="F62" authorId="0" shapeId="0" xr:uid="{BF25FDB9-7F6E-482D-87BA-3264599EEEB1}">
      <text>
        <r>
          <rPr>
            <b/>
            <sz val="9"/>
            <color indexed="81"/>
            <rFont val="Tahoma"/>
            <family val="2"/>
          </rPr>
          <t>mvargasb:</t>
        </r>
        <r>
          <rPr>
            <sz val="9"/>
            <color indexed="81"/>
            <rFont val="Tahoma"/>
            <family val="2"/>
          </rPr>
          <t xml:space="preserve">
estimación porcentual con el año 2011
</t>
        </r>
      </text>
    </comment>
    <comment ref="G62" authorId="0" shapeId="0" xr:uid="{EA55D45E-C4B8-4A5A-AEE2-847AAE566DD0}">
      <text>
        <r>
          <rPr>
            <b/>
            <sz val="9"/>
            <color indexed="81"/>
            <rFont val="Tahoma"/>
            <family val="2"/>
          </rPr>
          <t>mvargasb:</t>
        </r>
        <r>
          <rPr>
            <sz val="9"/>
            <color indexed="81"/>
            <rFont val="Tahoma"/>
            <family val="2"/>
          </rPr>
          <t xml:space="preserve">
estimación porcentual con el año 2011
</t>
        </r>
      </text>
    </comment>
    <comment ref="H62" authorId="0" shapeId="0" xr:uid="{455C23E3-8C33-4749-892F-8E3FDD8EEAEE}">
      <text>
        <r>
          <rPr>
            <b/>
            <sz val="9"/>
            <color indexed="81"/>
            <rFont val="Tahoma"/>
            <family val="2"/>
          </rPr>
          <t>mvargasb:</t>
        </r>
        <r>
          <rPr>
            <sz val="9"/>
            <color indexed="81"/>
            <rFont val="Tahoma"/>
            <family val="2"/>
          </rPr>
          <t xml:space="preserve">
estimación porcentual con el año 2011
</t>
        </r>
      </text>
    </comment>
    <comment ref="I62" authorId="0" shapeId="0" xr:uid="{3F96BE02-2A3C-4CBB-8828-F2C8166B3CE0}">
      <text>
        <r>
          <rPr>
            <b/>
            <sz val="9"/>
            <color indexed="81"/>
            <rFont val="Tahoma"/>
            <family val="2"/>
          </rPr>
          <t>mvargasb:</t>
        </r>
        <r>
          <rPr>
            <sz val="9"/>
            <color indexed="81"/>
            <rFont val="Tahoma"/>
            <family val="2"/>
          </rPr>
          <t xml:space="preserve">
estimación porcentual con el año 2011
</t>
        </r>
      </text>
    </comment>
    <comment ref="J62" authorId="0" shapeId="0" xr:uid="{E64ADD24-41D4-47D6-BDEE-15B41719954B}">
      <text>
        <r>
          <rPr>
            <b/>
            <sz val="9"/>
            <color indexed="81"/>
            <rFont val="Tahoma"/>
            <family val="2"/>
          </rPr>
          <t>mvargasb:</t>
        </r>
        <r>
          <rPr>
            <sz val="9"/>
            <color indexed="81"/>
            <rFont val="Tahoma"/>
            <family val="2"/>
          </rPr>
          <t xml:space="preserve">
estimación porcentual con el año 2011
</t>
        </r>
      </text>
    </comment>
    <comment ref="K62" authorId="0" shapeId="0" xr:uid="{72C3C857-3787-4E85-A8BF-EF6E5C8E2EB2}">
      <text>
        <r>
          <rPr>
            <b/>
            <sz val="9"/>
            <color indexed="81"/>
            <rFont val="Tahoma"/>
            <family val="2"/>
          </rPr>
          <t>mvargasb:</t>
        </r>
        <r>
          <rPr>
            <sz val="9"/>
            <color indexed="81"/>
            <rFont val="Tahoma"/>
            <family val="2"/>
          </rPr>
          <t xml:space="preserve">
estimación porcentual con el año 2011
</t>
        </r>
      </text>
    </comment>
    <comment ref="L62" authorId="0" shapeId="0" xr:uid="{86432DBA-EBEF-4392-8D73-3550B4649A77}">
      <text>
        <r>
          <rPr>
            <b/>
            <sz val="9"/>
            <color indexed="81"/>
            <rFont val="Tahoma"/>
            <family val="2"/>
          </rPr>
          <t>mvargasb:</t>
        </r>
        <r>
          <rPr>
            <sz val="9"/>
            <color indexed="81"/>
            <rFont val="Tahoma"/>
            <family val="2"/>
          </rPr>
          <t xml:space="preserve">
estimación porcentual con el año 2011
</t>
        </r>
      </text>
    </comment>
    <comment ref="M62" authorId="0" shapeId="0" xr:uid="{F443F9D8-4F19-4BB6-9CD9-1D87D9FF2205}">
      <text>
        <r>
          <rPr>
            <b/>
            <sz val="9"/>
            <color indexed="81"/>
            <rFont val="Tahoma"/>
            <family val="2"/>
          </rPr>
          <t>mvargasb:</t>
        </r>
        <r>
          <rPr>
            <sz val="9"/>
            <color indexed="81"/>
            <rFont val="Tahoma"/>
            <family val="2"/>
          </rPr>
          <t xml:space="preserve">
estimación porcentual con el año 2011
</t>
        </r>
      </text>
    </comment>
    <comment ref="C63" authorId="0" shapeId="0" xr:uid="{CBE2B7EB-623B-4EFB-B40E-EB30FFFB92D4}">
      <text>
        <r>
          <rPr>
            <b/>
            <sz val="9"/>
            <color indexed="81"/>
            <rFont val="Tahoma"/>
            <family val="2"/>
          </rPr>
          <t>mvargasb:</t>
        </r>
        <r>
          <rPr>
            <sz val="9"/>
            <color indexed="81"/>
            <rFont val="Tahoma"/>
            <family val="2"/>
          </rPr>
          <t xml:space="preserve">
estimación porcentual con el año 2011
</t>
        </r>
      </text>
    </comment>
    <comment ref="D63" authorId="0" shapeId="0" xr:uid="{A8D1ABF5-DCD7-444C-AFD2-716F7A7476E7}">
      <text>
        <r>
          <rPr>
            <b/>
            <sz val="9"/>
            <color indexed="81"/>
            <rFont val="Tahoma"/>
            <family val="2"/>
          </rPr>
          <t>mvargasb:</t>
        </r>
        <r>
          <rPr>
            <sz val="9"/>
            <color indexed="81"/>
            <rFont val="Tahoma"/>
            <family val="2"/>
          </rPr>
          <t xml:space="preserve">
estimación porcentual con el año 2011
</t>
        </r>
      </text>
    </comment>
    <comment ref="E63" authorId="0" shapeId="0" xr:uid="{C245B598-45F8-499E-AC20-DD99D5D2D88E}">
      <text>
        <r>
          <rPr>
            <b/>
            <sz val="9"/>
            <color indexed="81"/>
            <rFont val="Tahoma"/>
            <family val="2"/>
          </rPr>
          <t>mvargasb:</t>
        </r>
        <r>
          <rPr>
            <sz val="9"/>
            <color indexed="81"/>
            <rFont val="Tahoma"/>
            <family val="2"/>
          </rPr>
          <t xml:space="preserve">
estimación porcentual con el año 2011
</t>
        </r>
      </text>
    </comment>
    <comment ref="F63" authorId="0" shapeId="0" xr:uid="{849EC81A-4788-401E-8D39-5155EA956638}">
      <text>
        <r>
          <rPr>
            <b/>
            <sz val="9"/>
            <color indexed="81"/>
            <rFont val="Tahoma"/>
            <family val="2"/>
          </rPr>
          <t>mvargasb:</t>
        </r>
        <r>
          <rPr>
            <sz val="9"/>
            <color indexed="81"/>
            <rFont val="Tahoma"/>
            <family val="2"/>
          </rPr>
          <t xml:space="preserve">
estimación porcentual con el año 2011
</t>
        </r>
      </text>
    </comment>
    <comment ref="G63" authorId="0" shapeId="0" xr:uid="{1433FEC6-4A3A-4147-8F2C-02E84820FE1E}">
      <text>
        <r>
          <rPr>
            <b/>
            <sz val="9"/>
            <color indexed="81"/>
            <rFont val="Tahoma"/>
            <family val="2"/>
          </rPr>
          <t>mvargasb:</t>
        </r>
        <r>
          <rPr>
            <sz val="9"/>
            <color indexed="81"/>
            <rFont val="Tahoma"/>
            <family val="2"/>
          </rPr>
          <t xml:space="preserve">
estimación porcentual con el año 2011
</t>
        </r>
      </text>
    </comment>
    <comment ref="H63" authorId="0" shapeId="0" xr:uid="{DABFF6B3-E708-4FFA-9825-D5A5DD9BE63C}">
      <text>
        <r>
          <rPr>
            <b/>
            <sz val="9"/>
            <color indexed="81"/>
            <rFont val="Tahoma"/>
            <family val="2"/>
          </rPr>
          <t>mvargasb:</t>
        </r>
        <r>
          <rPr>
            <sz val="9"/>
            <color indexed="81"/>
            <rFont val="Tahoma"/>
            <family val="2"/>
          </rPr>
          <t xml:space="preserve">
estimación porcentual con el año 2011
</t>
        </r>
      </text>
    </comment>
    <comment ref="I63" authorId="0" shapeId="0" xr:uid="{5D5A9246-403E-49D9-BAC5-7E16912F3400}">
      <text>
        <r>
          <rPr>
            <b/>
            <sz val="9"/>
            <color indexed="81"/>
            <rFont val="Tahoma"/>
            <family val="2"/>
          </rPr>
          <t>mvargasb:</t>
        </r>
        <r>
          <rPr>
            <sz val="9"/>
            <color indexed="81"/>
            <rFont val="Tahoma"/>
            <family val="2"/>
          </rPr>
          <t xml:space="preserve">
estimación porcentual con el año 2011
</t>
        </r>
      </text>
    </comment>
    <comment ref="J63" authorId="0" shapeId="0" xr:uid="{3B137AE0-C902-40A1-8568-7FEAFEA2D73D}">
      <text>
        <r>
          <rPr>
            <b/>
            <sz val="9"/>
            <color indexed="81"/>
            <rFont val="Tahoma"/>
            <family val="2"/>
          </rPr>
          <t>mvargasb:</t>
        </r>
        <r>
          <rPr>
            <sz val="9"/>
            <color indexed="81"/>
            <rFont val="Tahoma"/>
            <family val="2"/>
          </rPr>
          <t xml:space="preserve">
estimación porcentual con el año 2011
</t>
        </r>
      </text>
    </comment>
    <comment ref="K63" authorId="0" shapeId="0" xr:uid="{7DF2C88A-8070-4753-841C-6FB310115832}">
      <text>
        <r>
          <rPr>
            <b/>
            <sz val="9"/>
            <color indexed="81"/>
            <rFont val="Tahoma"/>
            <family val="2"/>
          </rPr>
          <t>mvargasb:</t>
        </r>
        <r>
          <rPr>
            <sz val="9"/>
            <color indexed="81"/>
            <rFont val="Tahoma"/>
            <family val="2"/>
          </rPr>
          <t xml:space="preserve">
estimación porcentual con el año 2011
</t>
        </r>
      </text>
    </comment>
    <comment ref="L63" authorId="0" shapeId="0" xr:uid="{8979D691-DEB9-40AA-B8BF-4B4FA29D62BD}">
      <text>
        <r>
          <rPr>
            <b/>
            <sz val="9"/>
            <color indexed="81"/>
            <rFont val="Tahoma"/>
            <family val="2"/>
          </rPr>
          <t>mvargasb:</t>
        </r>
        <r>
          <rPr>
            <sz val="9"/>
            <color indexed="81"/>
            <rFont val="Tahoma"/>
            <family val="2"/>
          </rPr>
          <t xml:space="preserve">
estimación porcentual con el año 2011
</t>
        </r>
      </text>
    </comment>
    <comment ref="M63" authorId="0" shapeId="0" xr:uid="{EFFD6B73-6FAC-4D47-9BF3-B36AB48C3596}">
      <text>
        <r>
          <rPr>
            <b/>
            <sz val="9"/>
            <color indexed="81"/>
            <rFont val="Tahoma"/>
            <family val="2"/>
          </rPr>
          <t>mvargasb:</t>
        </r>
        <r>
          <rPr>
            <sz val="9"/>
            <color indexed="81"/>
            <rFont val="Tahoma"/>
            <family val="2"/>
          </rPr>
          <t xml:space="preserve">
estimación porcentual con el año 2011
</t>
        </r>
      </text>
    </comment>
    <comment ref="C64" authorId="0" shapeId="0" xr:uid="{1F6C7CC0-5942-4E28-9553-151EDEC8E8E2}">
      <text>
        <r>
          <rPr>
            <b/>
            <sz val="9"/>
            <color indexed="81"/>
            <rFont val="Tahoma"/>
            <family val="2"/>
          </rPr>
          <t>mvargasb:</t>
        </r>
        <r>
          <rPr>
            <sz val="9"/>
            <color indexed="81"/>
            <rFont val="Tahoma"/>
            <family val="2"/>
          </rPr>
          <t xml:space="preserve">
estimación porcentual con el año 2011
</t>
        </r>
      </text>
    </comment>
    <comment ref="D64" authorId="0" shapeId="0" xr:uid="{875813C8-B927-461F-9549-061C1861B936}">
      <text>
        <r>
          <rPr>
            <b/>
            <sz val="9"/>
            <color indexed="81"/>
            <rFont val="Tahoma"/>
            <family val="2"/>
          </rPr>
          <t>mvargasb:</t>
        </r>
        <r>
          <rPr>
            <sz val="9"/>
            <color indexed="81"/>
            <rFont val="Tahoma"/>
            <family val="2"/>
          </rPr>
          <t xml:space="preserve">
estimación porcentual con el año 2011
</t>
        </r>
      </text>
    </comment>
    <comment ref="E64" authorId="0" shapeId="0" xr:uid="{0059CA53-59FC-4CE8-ABB8-30D46EBA35D5}">
      <text>
        <r>
          <rPr>
            <b/>
            <sz val="9"/>
            <color indexed="81"/>
            <rFont val="Tahoma"/>
            <family val="2"/>
          </rPr>
          <t>mvargasb:</t>
        </r>
        <r>
          <rPr>
            <sz val="9"/>
            <color indexed="81"/>
            <rFont val="Tahoma"/>
            <family val="2"/>
          </rPr>
          <t xml:space="preserve">
estimación porcentual con el año 2011
</t>
        </r>
      </text>
    </comment>
    <comment ref="F64" authorId="0" shapeId="0" xr:uid="{243EE219-1089-4562-BE5F-98E72EBD5406}">
      <text>
        <r>
          <rPr>
            <b/>
            <sz val="9"/>
            <color indexed="81"/>
            <rFont val="Tahoma"/>
            <family val="2"/>
          </rPr>
          <t>mvargasb:</t>
        </r>
        <r>
          <rPr>
            <sz val="9"/>
            <color indexed="81"/>
            <rFont val="Tahoma"/>
            <family val="2"/>
          </rPr>
          <t xml:space="preserve">
estimación porcentual con el año 2011
</t>
        </r>
      </text>
    </comment>
    <comment ref="G64" authorId="0" shapeId="0" xr:uid="{1E33FF61-FB58-46ED-AE5F-085A5FC0297A}">
      <text>
        <r>
          <rPr>
            <b/>
            <sz val="9"/>
            <color indexed="81"/>
            <rFont val="Tahoma"/>
            <family val="2"/>
          </rPr>
          <t>mvargasb:</t>
        </r>
        <r>
          <rPr>
            <sz val="9"/>
            <color indexed="81"/>
            <rFont val="Tahoma"/>
            <family val="2"/>
          </rPr>
          <t xml:space="preserve">
estimación porcentual con el año 2011
</t>
        </r>
      </text>
    </comment>
    <comment ref="H64" authorId="0" shapeId="0" xr:uid="{49E9DCB0-9DD1-475A-8650-52FB0C0BA6A4}">
      <text>
        <r>
          <rPr>
            <b/>
            <sz val="9"/>
            <color indexed="81"/>
            <rFont val="Tahoma"/>
            <family val="2"/>
          </rPr>
          <t>mvargasb:</t>
        </r>
        <r>
          <rPr>
            <sz val="9"/>
            <color indexed="81"/>
            <rFont val="Tahoma"/>
            <family val="2"/>
          </rPr>
          <t xml:space="preserve">
estimación porcentual con el año 2011
</t>
        </r>
      </text>
    </comment>
    <comment ref="I64" authorId="0" shapeId="0" xr:uid="{0C81570B-CA17-454B-96D0-2CA6A7097C3A}">
      <text>
        <r>
          <rPr>
            <b/>
            <sz val="9"/>
            <color indexed="81"/>
            <rFont val="Tahoma"/>
            <family val="2"/>
          </rPr>
          <t>mvargasb:</t>
        </r>
        <r>
          <rPr>
            <sz val="9"/>
            <color indexed="81"/>
            <rFont val="Tahoma"/>
            <family val="2"/>
          </rPr>
          <t xml:space="preserve">
estimación porcentual con el año 2011
</t>
        </r>
      </text>
    </comment>
    <comment ref="J64" authorId="0" shapeId="0" xr:uid="{2670EDCE-E49D-4A26-96A8-77BCEED5F5AE}">
      <text>
        <r>
          <rPr>
            <b/>
            <sz val="9"/>
            <color indexed="81"/>
            <rFont val="Tahoma"/>
            <family val="2"/>
          </rPr>
          <t>mvargasb:</t>
        </r>
        <r>
          <rPr>
            <sz val="9"/>
            <color indexed="81"/>
            <rFont val="Tahoma"/>
            <family val="2"/>
          </rPr>
          <t xml:space="preserve">
estimación porcentual con el año 2011
</t>
        </r>
      </text>
    </comment>
    <comment ref="K64" authorId="0" shapeId="0" xr:uid="{98EB3B5F-6604-4F82-AC40-C9E8D77EBC5D}">
      <text>
        <r>
          <rPr>
            <b/>
            <sz val="9"/>
            <color indexed="81"/>
            <rFont val="Tahoma"/>
            <family val="2"/>
          </rPr>
          <t>mvargasb:</t>
        </r>
        <r>
          <rPr>
            <sz val="9"/>
            <color indexed="81"/>
            <rFont val="Tahoma"/>
            <family val="2"/>
          </rPr>
          <t xml:space="preserve">
estimación porcentual con el año 2011
</t>
        </r>
      </text>
    </comment>
    <comment ref="L64" authorId="0" shapeId="0" xr:uid="{CB39C669-5ADD-47D7-9A01-7822A2CE18F1}">
      <text>
        <r>
          <rPr>
            <b/>
            <sz val="9"/>
            <color indexed="81"/>
            <rFont val="Tahoma"/>
            <family val="2"/>
          </rPr>
          <t>mvargasb:</t>
        </r>
        <r>
          <rPr>
            <sz val="9"/>
            <color indexed="81"/>
            <rFont val="Tahoma"/>
            <family val="2"/>
          </rPr>
          <t xml:space="preserve">
estimación porcentual con el año 2011
</t>
        </r>
      </text>
    </comment>
    <comment ref="M64" authorId="0" shapeId="0" xr:uid="{C0ACC184-6E91-4ADB-BD88-6A49E4436D7F}">
      <text>
        <r>
          <rPr>
            <b/>
            <sz val="9"/>
            <color indexed="81"/>
            <rFont val="Tahoma"/>
            <family val="2"/>
          </rPr>
          <t>mvargasb:</t>
        </r>
        <r>
          <rPr>
            <sz val="9"/>
            <color indexed="81"/>
            <rFont val="Tahoma"/>
            <family val="2"/>
          </rPr>
          <t xml:space="preserve">
estimación porcentual con el año 2011
</t>
        </r>
      </text>
    </comment>
    <comment ref="C65" authorId="0" shapeId="0" xr:uid="{00000000-0006-0000-0000-00007B010000}">
      <text>
        <r>
          <rPr>
            <b/>
            <sz val="9"/>
            <color indexed="81"/>
            <rFont val="Tahoma"/>
            <family val="2"/>
          </rPr>
          <t>mvargasb:</t>
        </r>
        <r>
          <rPr>
            <sz val="9"/>
            <color indexed="81"/>
            <rFont val="Tahoma"/>
            <family val="2"/>
          </rPr>
          <t xml:space="preserve">
ND por el INEC</t>
        </r>
      </text>
    </comment>
    <comment ref="D65" authorId="0" shapeId="0" xr:uid="{00000000-0006-0000-0000-00007C010000}">
      <text>
        <r>
          <rPr>
            <b/>
            <sz val="9"/>
            <color indexed="81"/>
            <rFont val="Tahoma"/>
            <family val="2"/>
          </rPr>
          <t>mvargasb:</t>
        </r>
        <r>
          <rPr>
            <sz val="9"/>
            <color indexed="81"/>
            <rFont val="Tahoma"/>
            <family val="2"/>
          </rPr>
          <t xml:space="preserve">
ND por el INEC</t>
        </r>
      </text>
    </comment>
    <comment ref="E65" authorId="0" shapeId="0" xr:uid="{00000000-0006-0000-0000-00007D010000}">
      <text>
        <r>
          <rPr>
            <b/>
            <sz val="9"/>
            <color indexed="81"/>
            <rFont val="Tahoma"/>
            <family val="2"/>
          </rPr>
          <t>mvargasb:</t>
        </r>
        <r>
          <rPr>
            <sz val="9"/>
            <color indexed="81"/>
            <rFont val="Tahoma"/>
            <family val="2"/>
          </rPr>
          <t xml:space="preserve">
ND por el INEC</t>
        </r>
      </text>
    </comment>
    <comment ref="F65" authorId="0" shapeId="0" xr:uid="{00000000-0006-0000-0000-00007E010000}">
      <text>
        <r>
          <rPr>
            <b/>
            <sz val="9"/>
            <color indexed="81"/>
            <rFont val="Tahoma"/>
            <family val="2"/>
          </rPr>
          <t>mvargasb:</t>
        </r>
        <r>
          <rPr>
            <sz val="9"/>
            <color indexed="81"/>
            <rFont val="Tahoma"/>
            <family val="2"/>
          </rPr>
          <t xml:space="preserve">
ND por el INEC</t>
        </r>
      </text>
    </comment>
    <comment ref="G65" authorId="0" shapeId="0" xr:uid="{00000000-0006-0000-0000-00007F010000}">
      <text>
        <r>
          <rPr>
            <b/>
            <sz val="9"/>
            <color indexed="81"/>
            <rFont val="Tahoma"/>
            <family val="2"/>
          </rPr>
          <t>mvargasb:</t>
        </r>
        <r>
          <rPr>
            <sz val="9"/>
            <color indexed="81"/>
            <rFont val="Tahoma"/>
            <family val="2"/>
          </rPr>
          <t xml:space="preserve">
ND por el INEC</t>
        </r>
      </text>
    </comment>
    <comment ref="H65" authorId="0" shapeId="0" xr:uid="{00000000-0006-0000-0000-000080010000}">
      <text>
        <r>
          <rPr>
            <b/>
            <sz val="9"/>
            <color indexed="81"/>
            <rFont val="Tahoma"/>
            <family val="2"/>
          </rPr>
          <t>mvargasb:</t>
        </r>
        <r>
          <rPr>
            <sz val="9"/>
            <color indexed="81"/>
            <rFont val="Tahoma"/>
            <family val="2"/>
          </rPr>
          <t xml:space="preserve">
ND por el INEC</t>
        </r>
      </text>
    </comment>
    <comment ref="I65" authorId="0" shapeId="0" xr:uid="{00000000-0006-0000-0000-000081010000}">
      <text>
        <r>
          <rPr>
            <b/>
            <sz val="9"/>
            <color indexed="81"/>
            <rFont val="Tahoma"/>
            <family val="2"/>
          </rPr>
          <t>mvargasb:</t>
        </r>
        <r>
          <rPr>
            <sz val="9"/>
            <color indexed="81"/>
            <rFont val="Tahoma"/>
            <family val="2"/>
          </rPr>
          <t xml:space="preserve">
ND por el INEC</t>
        </r>
      </text>
    </comment>
    <comment ref="J65" authorId="0" shapeId="0" xr:uid="{00000000-0006-0000-0000-000082010000}">
      <text>
        <r>
          <rPr>
            <b/>
            <sz val="9"/>
            <color indexed="81"/>
            <rFont val="Tahoma"/>
            <family val="2"/>
          </rPr>
          <t>mvargasb:</t>
        </r>
        <r>
          <rPr>
            <sz val="9"/>
            <color indexed="81"/>
            <rFont val="Tahoma"/>
            <family val="2"/>
          </rPr>
          <t xml:space="preserve">
ND por el INEC</t>
        </r>
      </text>
    </comment>
    <comment ref="K65" authorId="0" shapeId="0" xr:uid="{00000000-0006-0000-0000-000083010000}">
      <text>
        <r>
          <rPr>
            <b/>
            <sz val="9"/>
            <color indexed="81"/>
            <rFont val="Tahoma"/>
            <family val="2"/>
          </rPr>
          <t>mvargasb:</t>
        </r>
        <r>
          <rPr>
            <sz val="9"/>
            <color indexed="81"/>
            <rFont val="Tahoma"/>
            <family val="2"/>
          </rPr>
          <t xml:space="preserve">
ND por el INEC</t>
        </r>
      </text>
    </comment>
    <comment ref="L65" authorId="0" shapeId="0" xr:uid="{00000000-0006-0000-0000-000084010000}">
      <text>
        <r>
          <rPr>
            <b/>
            <sz val="9"/>
            <color indexed="81"/>
            <rFont val="Tahoma"/>
            <family val="2"/>
          </rPr>
          <t>mvargasb:</t>
        </r>
        <r>
          <rPr>
            <sz val="9"/>
            <color indexed="81"/>
            <rFont val="Tahoma"/>
            <family val="2"/>
          </rPr>
          <t xml:space="preserve">
ND por el INEC</t>
        </r>
      </text>
    </comment>
    <comment ref="M65" authorId="0" shapeId="0" xr:uid="{00000000-0006-0000-0000-000085010000}">
      <text>
        <r>
          <rPr>
            <b/>
            <sz val="9"/>
            <color indexed="81"/>
            <rFont val="Tahoma"/>
            <family val="2"/>
          </rPr>
          <t>mvargasb:</t>
        </r>
        <r>
          <rPr>
            <sz val="9"/>
            <color indexed="81"/>
            <rFont val="Tahoma"/>
            <family val="2"/>
          </rPr>
          <t xml:space="preserve">
ND por el INEC</t>
        </r>
      </text>
    </comment>
    <comment ref="V68" authorId="0" shapeId="0" xr:uid="{00000000-0006-0000-0000-000086010000}">
      <text>
        <r>
          <rPr>
            <sz val="9"/>
            <color indexed="81"/>
            <rFont val="Tahoma"/>
            <family val="2"/>
          </rPr>
          <t xml:space="preserve"> ya no hay jueces de II instancia resolviendo civil y laboral</t>
        </r>
      </text>
    </comment>
    <comment ref="C77" authorId="3" shapeId="0" xr:uid="{00000000-0006-0000-0000-00008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77" authorId="3" shapeId="0" xr:uid="{00000000-0006-0000-0000-00008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77" authorId="3" shapeId="0" xr:uid="{00000000-0006-0000-0000-00008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77" authorId="3" shapeId="0" xr:uid="{00000000-0006-0000-0000-00008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77" authorId="3" shapeId="0" xr:uid="{00000000-0006-0000-0000-00008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77" authorId="3" shapeId="0" xr:uid="{00000000-0006-0000-0000-00008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77" authorId="3" shapeId="0" xr:uid="{00000000-0006-0000-0000-00008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77" authorId="3" shapeId="0" xr:uid="{00000000-0006-0000-0000-00008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77" authorId="3" shapeId="0" xr:uid="{00000000-0006-0000-0000-00008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77" authorId="3" shapeId="0" xr:uid="{00000000-0006-0000-0000-00009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77" authorId="3" shapeId="0" xr:uid="{00000000-0006-0000-0000-00009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77" authorId="3" shapeId="0" xr:uid="{00000000-0006-0000-0000-00009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77" authorId="3" shapeId="0" xr:uid="{00000000-0006-0000-0000-00009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78" authorId="3" shapeId="0" xr:uid="{00000000-0006-0000-0000-00009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78" authorId="3" shapeId="0" xr:uid="{00000000-0006-0000-0000-00009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78" authorId="3" shapeId="0" xr:uid="{00000000-0006-0000-0000-00009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78" authorId="3" shapeId="0" xr:uid="{00000000-0006-0000-0000-00009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78" authorId="3" shapeId="0" xr:uid="{00000000-0006-0000-0000-00009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78" authorId="3" shapeId="0" xr:uid="{00000000-0006-0000-0000-00009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78" authorId="3" shapeId="0" xr:uid="{00000000-0006-0000-0000-00009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78" authorId="3" shapeId="0" xr:uid="{00000000-0006-0000-0000-00009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78" authorId="3" shapeId="0" xr:uid="{00000000-0006-0000-0000-00009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78" authorId="3" shapeId="0" xr:uid="{00000000-0006-0000-0000-00009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78" authorId="3" shapeId="0" xr:uid="{00000000-0006-0000-0000-00009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78" authorId="3" shapeId="0" xr:uid="{00000000-0006-0000-0000-00009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78" authorId="3" shapeId="0" xr:uid="{00000000-0006-0000-0000-0000A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79" authorId="0" shapeId="0" xr:uid="{00000000-0006-0000-0000-0000A1010000}">
      <text>
        <r>
          <rPr>
            <b/>
            <sz val="9"/>
            <color indexed="81"/>
            <rFont val="Tahoma"/>
            <family val="2"/>
          </rPr>
          <t>mvargasb:</t>
        </r>
        <r>
          <rPr>
            <sz val="9"/>
            <color indexed="81"/>
            <rFont val="Tahoma"/>
            <family val="2"/>
          </rPr>
          <t xml:space="preserve">
este año se aprobó la Ley de Segurida ¿d Ciudadana y dieron 66 jueces que no están en el presupuesto, no se cuentan aquí</t>
        </r>
      </text>
    </comment>
    <comment ref="C83" authorId="3" shapeId="0" xr:uid="{00000000-0006-0000-0000-0000A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83" authorId="3" shapeId="0" xr:uid="{00000000-0006-0000-0000-0000A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83" authorId="3" shapeId="0" xr:uid="{00000000-0006-0000-0000-0000A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83" authorId="3" shapeId="0" xr:uid="{00000000-0006-0000-0000-0000A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83" authorId="3" shapeId="0" xr:uid="{00000000-0006-0000-0000-0000A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83" authorId="3" shapeId="0" xr:uid="{00000000-0006-0000-0000-0000A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83" authorId="3" shapeId="0" xr:uid="{00000000-0006-0000-0000-0000A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83" authorId="3" shapeId="0" xr:uid="{00000000-0006-0000-0000-0000A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83" authorId="3" shapeId="0" xr:uid="{00000000-0006-0000-0000-0000A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83" authorId="3" shapeId="0" xr:uid="{00000000-0006-0000-0000-0000A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83" authorId="3" shapeId="0" xr:uid="{00000000-0006-0000-0000-0000A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83" authorId="3" shapeId="0" xr:uid="{00000000-0006-0000-0000-0000A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83" authorId="3" shapeId="0" xr:uid="{00000000-0006-0000-0000-0000A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87" authorId="3" shapeId="0" xr:uid="{00000000-0006-0000-0000-0000A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87" authorId="3" shapeId="0" xr:uid="{00000000-0006-0000-0000-0000B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87" authorId="3" shapeId="0" xr:uid="{00000000-0006-0000-0000-0000B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87" authorId="3" shapeId="0" xr:uid="{00000000-0006-0000-0000-0000B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87" authorId="3" shapeId="0" xr:uid="{00000000-0006-0000-0000-0000B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87" authorId="3" shapeId="0" xr:uid="{00000000-0006-0000-0000-0000B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87" authorId="3" shapeId="0" xr:uid="{00000000-0006-0000-0000-0000B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87" authorId="3" shapeId="0" xr:uid="{00000000-0006-0000-0000-0000B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87" authorId="3" shapeId="0" xr:uid="{00000000-0006-0000-0000-0000B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87" authorId="3" shapeId="0" xr:uid="{00000000-0006-0000-0000-0000B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87" authorId="3" shapeId="0" xr:uid="{00000000-0006-0000-0000-0000B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87" authorId="3" shapeId="0" xr:uid="{00000000-0006-0000-0000-0000B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87" authorId="3" shapeId="0" xr:uid="{00000000-0006-0000-0000-0000B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88" authorId="3" shapeId="0" xr:uid="{00000000-0006-0000-0000-0000B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88" authorId="3" shapeId="0" xr:uid="{00000000-0006-0000-0000-0000B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88" authorId="3" shapeId="0" xr:uid="{00000000-0006-0000-0000-0000B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88" authorId="3" shapeId="0" xr:uid="{00000000-0006-0000-0000-0000B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88" authorId="3" shapeId="0" xr:uid="{00000000-0006-0000-0000-0000C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88" authorId="3" shapeId="0" xr:uid="{00000000-0006-0000-0000-0000C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88" authorId="3" shapeId="0" xr:uid="{00000000-0006-0000-0000-0000C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88" authorId="3" shapeId="0" xr:uid="{00000000-0006-0000-0000-0000C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88" authorId="3" shapeId="0" xr:uid="{00000000-0006-0000-0000-0000C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88" authorId="3" shapeId="0" xr:uid="{00000000-0006-0000-0000-0000C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88" authorId="3" shapeId="0" xr:uid="{00000000-0006-0000-0000-0000C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88" authorId="3" shapeId="0" xr:uid="{00000000-0006-0000-0000-0000C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88" authorId="3" shapeId="0" xr:uid="{00000000-0006-0000-0000-0000C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94" authorId="3" shapeId="0" xr:uid="{00000000-0006-0000-0000-0000C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94" authorId="3" shapeId="0" xr:uid="{00000000-0006-0000-0000-0000C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94" authorId="3" shapeId="0" xr:uid="{00000000-0006-0000-0000-0000C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94" authorId="3" shapeId="0" xr:uid="{00000000-0006-0000-0000-0000C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94" authorId="3" shapeId="0" xr:uid="{00000000-0006-0000-0000-0000C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94" authorId="3" shapeId="0" xr:uid="{00000000-0006-0000-0000-0000C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94" authorId="3" shapeId="0" xr:uid="{00000000-0006-0000-0000-0000C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94" authorId="3" shapeId="0" xr:uid="{00000000-0006-0000-0000-0000D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94" authorId="3" shapeId="0" xr:uid="{00000000-0006-0000-0000-0000D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94" authorId="3" shapeId="0" xr:uid="{00000000-0006-0000-0000-0000D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94" authorId="3" shapeId="0" xr:uid="{00000000-0006-0000-0000-0000D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94" authorId="3" shapeId="0" xr:uid="{00000000-0006-0000-0000-0000D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94" authorId="3" shapeId="0" xr:uid="{00000000-0006-0000-0000-0000D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95" authorId="3" shapeId="0" xr:uid="{00000000-0006-0000-0000-0000D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95" authorId="3" shapeId="0" xr:uid="{00000000-0006-0000-0000-0000D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95" authorId="3" shapeId="0" xr:uid="{00000000-0006-0000-0000-0000D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95" authorId="3" shapeId="0" xr:uid="{00000000-0006-0000-0000-0000D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95" authorId="3" shapeId="0" xr:uid="{00000000-0006-0000-0000-0000D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95" authorId="3" shapeId="0" xr:uid="{00000000-0006-0000-0000-0000D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95" authorId="3" shapeId="0" xr:uid="{00000000-0006-0000-0000-0000D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95" authorId="3" shapeId="0" xr:uid="{00000000-0006-0000-0000-0000D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95" authorId="3" shapeId="0" xr:uid="{00000000-0006-0000-0000-0000D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95" authorId="3" shapeId="0" xr:uid="{00000000-0006-0000-0000-0000D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95" authorId="3" shapeId="0" xr:uid="{00000000-0006-0000-0000-0000E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95" authorId="3" shapeId="0" xr:uid="{00000000-0006-0000-0000-0000E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95" authorId="3" shapeId="0" xr:uid="{00000000-0006-0000-0000-0000E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99" authorId="3" shapeId="0" xr:uid="{00000000-0006-0000-0000-0000E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99" authorId="3" shapeId="0" xr:uid="{00000000-0006-0000-0000-0000E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99" authorId="3" shapeId="0" xr:uid="{00000000-0006-0000-0000-0000E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99" authorId="3" shapeId="0" xr:uid="{00000000-0006-0000-0000-0000E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99" authorId="3" shapeId="0" xr:uid="{00000000-0006-0000-0000-0000E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99" authorId="3" shapeId="0" xr:uid="{00000000-0006-0000-0000-0000E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99" authorId="3" shapeId="0" xr:uid="{00000000-0006-0000-0000-0000E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99" authorId="3" shapeId="0" xr:uid="{00000000-0006-0000-0000-0000E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99" authorId="3" shapeId="0" xr:uid="{00000000-0006-0000-0000-0000E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99" authorId="3" shapeId="0" xr:uid="{00000000-0006-0000-0000-0000E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99" authorId="3" shapeId="0" xr:uid="{00000000-0006-0000-0000-0000ED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99" authorId="3" shapeId="0" xr:uid="{00000000-0006-0000-0000-0000EE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99" authorId="3" shapeId="0" xr:uid="{00000000-0006-0000-0000-0000EF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C100" authorId="3" shapeId="0" xr:uid="{00000000-0006-0000-0000-0000F0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D100" authorId="3" shapeId="0" xr:uid="{00000000-0006-0000-0000-0000F1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E100" authorId="3" shapeId="0" xr:uid="{00000000-0006-0000-0000-0000F2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F100" authorId="3" shapeId="0" xr:uid="{00000000-0006-0000-0000-0000F3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G100" authorId="3" shapeId="0" xr:uid="{00000000-0006-0000-0000-0000F4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H100" authorId="3" shapeId="0" xr:uid="{00000000-0006-0000-0000-0000F5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I100" authorId="3" shapeId="0" xr:uid="{00000000-0006-0000-0000-0000F6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J100" authorId="3" shapeId="0" xr:uid="{00000000-0006-0000-0000-0000F7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K100" authorId="3" shapeId="0" xr:uid="{00000000-0006-0000-0000-0000F8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L100" authorId="3" shapeId="0" xr:uid="{00000000-0006-0000-0000-0000F9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M100" authorId="3" shapeId="0" xr:uid="{00000000-0006-0000-0000-0000FA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N100" authorId="3" shapeId="0" xr:uid="{00000000-0006-0000-0000-0000FB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O100" authorId="3" shapeId="0" xr:uid="{00000000-0006-0000-0000-0000FC010000}">
      <text>
        <r>
          <rPr>
            <b/>
            <sz val="9"/>
            <color indexed="81"/>
            <rFont val="Tahoma"/>
            <family val="2"/>
          </rPr>
          <t>Jesus:</t>
        </r>
        <r>
          <rPr>
            <sz val="9"/>
            <color indexed="81"/>
            <rFont val="Tahoma"/>
            <family val="2"/>
          </rPr>
          <t xml:space="preserve">
no disponible
se estimó con los totales de la base de Erika entregada al Estado de la Nación</t>
        </r>
      </text>
    </comment>
    <comment ref="P107" authorId="0" shapeId="0" xr:uid="{00000000-0006-0000-0000-0000FD01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Q107" authorId="0" shapeId="0" xr:uid="{00000000-0006-0000-0000-0000FE01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R107" authorId="0" shapeId="0" xr:uid="{00000000-0006-0000-0000-0000FF01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S107" authorId="0" shapeId="0" xr:uid="{00000000-0006-0000-0000-000000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T107" authorId="0" shapeId="0" xr:uid="{00000000-0006-0000-0000-000001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U107" authorId="0" shapeId="0" xr:uid="{00000000-0006-0000-0000-000002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P115" authorId="0" shapeId="0" xr:uid="{00000000-0006-0000-0000-000003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Q115" authorId="0" shapeId="0" xr:uid="{00000000-0006-0000-0000-000004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R115" authorId="0" shapeId="0" xr:uid="{00000000-0006-0000-0000-000005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S115" authorId="0" shapeId="0" xr:uid="{00000000-0006-0000-0000-000006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T115" authorId="0" shapeId="0" xr:uid="{00000000-0006-0000-0000-000007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U115" authorId="0" shapeId="0" xr:uid="{00000000-0006-0000-0000-000008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P121" authorId="0" shapeId="0" xr:uid="{00000000-0006-0000-0000-000009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Q121" authorId="0" shapeId="0" xr:uid="{00000000-0006-0000-0000-00000A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R121" authorId="0" shapeId="0" xr:uid="{00000000-0006-0000-0000-00000B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S121" authorId="0" shapeId="0" xr:uid="{00000000-0006-0000-0000-00000C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T121" authorId="0" shapeId="0" xr:uid="{00000000-0006-0000-0000-00000D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U121" authorId="0" shapeId="0" xr:uid="{00000000-0006-0000-0000-00000E020000}">
      <text>
        <r>
          <rPr>
            <b/>
            <sz val="9"/>
            <color indexed="81"/>
            <rFont val="Tahoma"/>
            <family val="2"/>
          </rPr>
          <t>mvargasb:</t>
        </r>
        <r>
          <rPr>
            <sz val="9"/>
            <color indexed="81"/>
            <rFont val="Tahoma"/>
            <family val="2"/>
          </rPr>
          <t xml:space="preserve">
ajuste por jueces que se trasladan a II instancia atendiendo las apelaciones de civil y laboral en tribunales penales</t>
        </r>
      </text>
    </comment>
    <comment ref="B163" authorId="2" shapeId="0" xr:uid="{837380EE-3140-44AA-8DD2-536DC506A5AA}">
      <text>
        <r>
          <rPr>
            <b/>
            <sz val="9"/>
            <color indexed="81"/>
            <rFont val="Tahoma"/>
            <family val="2"/>
          </rPr>
          <t>Marlen Vargas Benavides:</t>
        </r>
        <r>
          <rPr>
            <sz val="9"/>
            <color indexed="81"/>
            <rFont val="Tahoma"/>
            <family val="2"/>
          </rPr>
          <t xml:space="preserve">
del MP</t>
        </r>
      </text>
    </comment>
    <comment ref="C212" authorId="0" shapeId="0" xr:uid="{00000000-0006-0000-0000-00000F020000}">
      <text>
        <r>
          <rPr>
            <b/>
            <sz val="9"/>
            <color indexed="81"/>
            <rFont val="Tahoma"/>
            <family val="2"/>
          </rPr>
          <t>mvargasb:</t>
        </r>
        <r>
          <rPr>
            <sz val="9"/>
            <color indexed="81"/>
            <rFont val="Tahoma"/>
            <family val="2"/>
          </rPr>
          <t xml:space="preserve">
ND</t>
        </r>
      </text>
    </comment>
    <comment ref="D212" authorId="0" shapeId="0" xr:uid="{00000000-0006-0000-0000-000010020000}">
      <text>
        <r>
          <rPr>
            <b/>
            <sz val="9"/>
            <color indexed="81"/>
            <rFont val="Tahoma"/>
            <family val="2"/>
          </rPr>
          <t>mvargasb:</t>
        </r>
        <r>
          <rPr>
            <sz val="9"/>
            <color indexed="81"/>
            <rFont val="Tahoma"/>
            <family val="2"/>
          </rPr>
          <t xml:space="preserve">
ND</t>
        </r>
      </text>
    </comment>
    <comment ref="B214" authorId="3" shapeId="0" xr:uid="{00000000-0006-0000-0000-000011020000}">
      <text>
        <r>
          <rPr>
            <sz val="9"/>
            <color indexed="81"/>
            <rFont val="Tahoma"/>
            <family val="2"/>
          </rPr>
          <t>se incluye solo el programa de atención</t>
        </r>
      </text>
    </comment>
    <comment ref="B216" authorId="3" shapeId="0" xr:uid="{00000000-0006-0000-0000-000013020000}">
      <text>
        <r>
          <rPr>
            <sz val="9"/>
            <color indexed="81"/>
            <rFont val="Tahoma"/>
            <family val="2"/>
          </rPr>
          <t xml:space="preserve">no penal + MP + MP PJ+ constitucional + delitos de acci[on privada
</t>
        </r>
      </text>
    </comment>
    <comment ref="B217" authorId="3" shapeId="0" xr:uid="{00000000-0006-0000-0000-000014020000}">
      <text>
        <r>
          <rPr>
            <sz val="9"/>
            <color indexed="81"/>
            <rFont val="Tahoma"/>
            <family val="2"/>
          </rPr>
          <t>sin MP ni constitucional</t>
        </r>
      </text>
    </comment>
    <comment ref="T229" authorId="3" shapeId="0" xr:uid="{00000000-0006-0000-0000-000015020000}">
      <text>
        <r>
          <rPr>
            <sz val="9"/>
            <color indexed="81"/>
            <rFont val="Tahoma"/>
            <family val="2"/>
          </rPr>
          <t>justificacion
Sobre el particular, el licenciado Robert Camacho Villalobos, remite correo electrónico de 6 de noviembre, 2018, donde manifiesta: 
“Respecto al Informe que se pone en conocimiento, me parece que la tendencia a la baja de los casos entrados en esta materia se debe a la implementación por parte de las personas juzgadoras de mejores criterios de filtración de casos con aquellos que sí son materia de VD de aquellos que no lo son o no le corresponde conocer a esta vía. 
Ejemplo de lo anterior son los Votos del Tribunal de Familia que indican que los casos de las personas menores de edad les corresponde conocer al Patronato Nacional de la Infancia, institución que debe de abrir un proceso especial de protección en sede administrativa conforme lo dispone el Código de Niñez y Adolescencia y que a este materia únicamente le corresponde el caso contemplado en el artículo 34 de dicho Código: cuando existan lesiones graves o abuso sexual y sea necesario sacar de la vivienda al agresor.”</t>
        </r>
      </text>
    </comment>
    <comment ref="C262" authorId="0" shapeId="0" xr:uid="{00000000-0006-0000-0000-000016020000}">
      <text>
        <r>
          <rPr>
            <b/>
            <sz val="9"/>
            <color indexed="81"/>
            <rFont val="Tahoma"/>
            <family val="2"/>
          </rPr>
          <t>mvargasb:</t>
        </r>
        <r>
          <rPr>
            <sz val="9"/>
            <color indexed="81"/>
            <rFont val="Tahoma"/>
            <family val="2"/>
          </rPr>
          <t xml:space="preserve">
ND</t>
        </r>
      </text>
    </comment>
    <comment ref="D262" authorId="0" shapeId="0" xr:uid="{00000000-0006-0000-0000-000017020000}">
      <text>
        <r>
          <rPr>
            <b/>
            <sz val="9"/>
            <color indexed="81"/>
            <rFont val="Tahoma"/>
            <family val="2"/>
          </rPr>
          <t>mvargasb:</t>
        </r>
        <r>
          <rPr>
            <sz val="9"/>
            <color indexed="81"/>
            <rFont val="Tahoma"/>
            <family val="2"/>
          </rPr>
          <t xml:space="preserve">
ND</t>
        </r>
      </text>
    </comment>
    <comment ref="N274" authorId="3" shapeId="0" xr:uid="{00000000-0006-0000-0000-000018020000}">
      <text>
        <r>
          <rPr>
            <sz val="9"/>
            <color indexed="81"/>
            <rFont val="Tahoma"/>
            <family val="2"/>
          </rPr>
          <t>a consecuencia de la redistribucion de expedientes a los despachos segun la nueva estructura</t>
        </r>
      </text>
    </comment>
    <comment ref="V279" authorId="3" shapeId="0" xr:uid="{00000000-0006-0000-0000-000019020000}">
      <text>
        <r>
          <rPr>
            <sz val="9"/>
            <color indexed="81"/>
            <rFont val="Tahoma"/>
            <family val="2"/>
          </rPr>
          <t>ajuste</t>
        </r>
      </text>
    </comment>
    <comment ref="V293" authorId="3" shapeId="0" xr:uid="{00000000-0006-0000-0000-00001A020000}">
      <text>
        <r>
          <rPr>
            <sz val="9"/>
            <color indexed="81"/>
            <rFont val="Tahoma"/>
            <family val="2"/>
          </rPr>
          <t>1/ Disminución en el circulante inicial de los recursos Habeas Corpus y Recursos de Amparo pues se eliminaron expedientes por estar duplicados.</t>
        </r>
      </text>
    </comment>
    <comment ref="C316" authorId="0" shapeId="0" xr:uid="{00000000-0006-0000-0000-00001B020000}">
      <text>
        <r>
          <rPr>
            <b/>
            <sz val="9"/>
            <color indexed="81"/>
            <rFont val="Tahoma"/>
            <family val="2"/>
          </rPr>
          <t>mvargasb:</t>
        </r>
        <r>
          <rPr>
            <sz val="9"/>
            <color indexed="81"/>
            <rFont val="Tahoma"/>
            <family val="2"/>
          </rPr>
          <t xml:space="preserve">
ND</t>
        </r>
      </text>
    </comment>
    <comment ref="D316" authorId="0" shapeId="0" xr:uid="{00000000-0006-0000-0000-00001C020000}">
      <text>
        <r>
          <rPr>
            <b/>
            <sz val="9"/>
            <color indexed="81"/>
            <rFont val="Tahoma"/>
            <family val="2"/>
          </rPr>
          <t>mvargasb:</t>
        </r>
        <r>
          <rPr>
            <sz val="9"/>
            <color indexed="81"/>
            <rFont val="Tahoma"/>
            <family val="2"/>
          </rPr>
          <t xml:space="preserve">
ND</t>
        </r>
      </text>
    </comment>
    <comment ref="V316" authorId="3" shapeId="0" xr:uid="{00000000-0006-0000-0000-00001D020000}">
      <text>
        <r>
          <rPr>
            <sz val="9"/>
            <color indexed="81"/>
            <rFont val="Tahoma"/>
            <family val="2"/>
          </rPr>
          <t>ajuste para no alterar el dato del circulante
Incremento de circulante inicial debido a la inclusión de causas que no estaban contempladas como parte del circulante de la oficina.en 30 de las 45 oficinas reportadas</t>
        </r>
      </text>
    </comment>
    <comment ref="V317" authorId="3" shapeId="0" xr:uid="{00000000-0006-0000-0000-00001E020000}">
      <text>
        <r>
          <rPr>
            <sz val="9"/>
            <color indexed="81"/>
            <rFont val="Tahoma"/>
            <family val="2"/>
          </rPr>
          <t>(1) Ajuste por modificación de competencias territoriales de los abogados de asistencia social.</t>
        </r>
      </text>
    </comment>
    <comment ref="U318" authorId="3" shapeId="0" xr:uid="{00000000-0006-0000-0000-00001F020000}">
      <text>
        <r>
          <rPr>
            <sz val="9"/>
            <color indexed="81"/>
            <rFont val="Tahoma"/>
            <family val="2"/>
          </rPr>
          <t>(1) Las diferencias presentadas en el circulante inicial son debido a ajustes realizados por estas oficinas. Y Siquirres inicio en nov del 2017 pero se incluye hasta enero de este año</t>
        </r>
      </text>
    </comment>
    <comment ref="V318" authorId="3" shapeId="0" xr:uid="{00000000-0006-0000-0000-000020020000}">
      <text>
        <r>
          <rPr>
            <sz val="9"/>
            <color indexed="81"/>
            <rFont val="Tahoma"/>
            <family val="2"/>
          </rPr>
          <t>Cabe indicar que mi persona trabajó con esta oficina la nueva fórmula de OAPVD y para el 2019 hubo una depuración en los sistemas:</t>
        </r>
      </text>
    </comment>
    <comment ref="C391" authorId="0" shapeId="0" xr:uid="{00000000-0006-0000-0000-000021020000}">
      <text>
        <r>
          <rPr>
            <b/>
            <sz val="9"/>
            <color indexed="81"/>
            <rFont val="Tahoma"/>
            <family val="2"/>
          </rPr>
          <t>mvargasb:</t>
        </r>
        <r>
          <rPr>
            <sz val="9"/>
            <color indexed="81"/>
            <rFont val="Tahoma"/>
            <family val="2"/>
          </rPr>
          <t xml:space="preserve">
ND</t>
        </r>
      </text>
    </comment>
    <comment ref="D391" authorId="0" shapeId="0" xr:uid="{00000000-0006-0000-0000-000022020000}">
      <text>
        <r>
          <rPr>
            <b/>
            <sz val="9"/>
            <color indexed="81"/>
            <rFont val="Tahoma"/>
            <family val="2"/>
          </rPr>
          <t>mvargasb:</t>
        </r>
        <r>
          <rPr>
            <sz val="9"/>
            <color indexed="81"/>
            <rFont val="Tahoma"/>
            <family val="2"/>
          </rPr>
          <t xml:space="preserve">
ND</t>
        </r>
      </text>
    </comment>
    <comment ref="V397" authorId="3" shapeId="0" xr:uid="{00000000-0006-0000-0000-000023020000}">
      <text>
        <r>
          <rPr>
            <sz val="9"/>
            <color indexed="81"/>
            <rFont val="Tahoma"/>
            <family val="2"/>
          </rPr>
          <t xml:space="preserve">ajuste para cuadrar el circulante
</t>
        </r>
      </text>
    </comment>
    <comment ref="C409" authorId="0" shapeId="0" xr:uid="{00000000-0006-0000-0000-000024020000}">
      <text>
        <r>
          <rPr>
            <b/>
            <sz val="9"/>
            <color indexed="81"/>
            <rFont val="Tahoma"/>
            <family val="2"/>
          </rPr>
          <t>mvargasb:</t>
        </r>
        <r>
          <rPr>
            <sz val="9"/>
            <color indexed="81"/>
            <rFont val="Tahoma"/>
            <family val="2"/>
          </rPr>
          <t xml:space="preserve">
ND</t>
        </r>
      </text>
    </comment>
    <comment ref="D409" authorId="0" shapeId="0" xr:uid="{00000000-0006-0000-0000-000025020000}">
      <text>
        <r>
          <rPr>
            <b/>
            <sz val="9"/>
            <color indexed="81"/>
            <rFont val="Tahoma"/>
            <family val="2"/>
          </rPr>
          <t>mvargasb:</t>
        </r>
        <r>
          <rPr>
            <sz val="9"/>
            <color indexed="81"/>
            <rFont val="Tahoma"/>
            <family val="2"/>
          </rPr>
          <t xml:space="preserve">
ND</t>
        </r>
      </text>
    </comment>
    <comment ref="U447" authorId="2" shapeId="0" xr:uid="{D5F7A7B8-BE17-4D7D-A994-FBF1153C96D9}">
      <text>
        <r>
          <rPr>
            <b/>
            <sz val="9"/>
            <color indexed="81"/>
            <rFont val="Tahoma"/>
            <family val="2"/>
          </rPr>
          <t xml:space="preserve">se publicó CF 2007, pero se requiere ajustar para que el 2019 cierre
</t>
        </r>
      </text>
    </comment>
    <comment ref="U448" authorId="2" shapeId="0" xr:uid="{4348C0BA-D0CC-4382-8CA5-F3571DA2B384}">
      <text>
        <r>
          <rPr>
            <b/>
            <sz val="9"/>
            <color indexed="81"/>
            <rFont val="Tahoma"/>
            <family val="2"/>
          </rPr>
          <t>Marlen Vargas Benavides:</t>
        </r>
        <r>
          <rPr>
            <sz val="9"/>
            <color indexed="81"/>
            <rFont val="Tahoma"/>
            <family val="2"/>
          </rPr>
          <t xml:space="preserve">
Los expedientes 16-000764-1028-CA y  17-005763-1027-CA fueron incluidos por error en el Tribunal de Casación, por lo que se eliminaron y se incluyeron correctamente en el circulante de la Sala Primera. Por lo aterior, el circulante final no coincide matemáticamente</t>
        </r>
      </text>
    </comment>
    <comment ref="B461" authorId="4" shapeId="0" xr:uid="{00000000-0006-0000-0000-000026020000}">
      <text>
        <r>
          <rPr>
            <b/>
            <sz val="9"/>
            <color indexed="81"/>
            <rFont val="Tahoma"/>
            <family val="2"/>
          </rPr>
          <t>Marlen:</t>
        </r>
        <r>
          <rPr>
            <sz val="9"/>
            <color indexed="81"/>
            <rFont val="Tahoma"/>
            <family val="2"/>
          </rPr>
          <t xml:space="preserve">
ND del circulante del OIJ
</t>
        </r>
      </text>
    </comment>
    <comment ref="B463" authorId="3" shapeId="0" xr:uid="{00000000-0006-0000-0000-000027020000}">
      <text>
        <r>
          <rPr>
            <sz val="9"/>
            <color indexed="81"/>
            <rFont val="Tahoma"/>
            <family val="2"/>
          </rPr>
          <t>no tiene constitucional</t>
        </r>
      </text>
    </comment>
    <comment ref="B464" authorId="3" shapeId="0" xr:uid="{00000000-0006-0000-0000-000028020000}">
      <text>
        <r>
          <rPr>
            <sz val="9"/>
            <color indexed="81"/>
            <rFont val="Tahoma"/>
            <family val="2"/>
          </rPr>
          <t>no tiene constitucional</t>
        </r>
      </text>
    </comment>
    <comment ref="C518" authorId="0" shapeId="0" xr:uid="{00000000-0006-0000-0000-000029020000}">
      <text>
        <r>
          <rPr>
            <b/>
            <sz val="9"/>
            <color indexed="81"/>
            <rFont val="Tahoma"/>
            <family val="2"/>
          </rPr>
          <t>mvargasb:</t>
        </r>
        <r>
          <rPr>
            <sz val="9"/>
            <color indexed="81"/>
            <rFont val="Tahoma"/>
            <family val="2"/>
          </rPr>
          <t xml:space="preserve">
ND
</t>
        </r>
      </text>
    </comment>
    <comment ref="D518" authorId="0" shapeId="0" xr:uid="{00000000-0006-0000-0000-00002A020000}">
      <text>
        <r>
          <rPr>
            <b/>
            <sz val="9"/>
            <color indexed="81"/>
            <rFont val="Tahoma"/>
            <family val="2"/>
          </rPr>
          <t>mvargasb:</t>
        </r>
        <r>
          <rPr>
            <sz val="9"/>
            <color indexed="81"/>
            <rFont val="Tahoma"/>
            <family val="2"/>
          </rPr>
          <t xml:space="preserve">
ND
</t>
        </r>
      </text>
    </comment>
    <comment ref="E518" authorId="0" shapeId="0" xr:uid="{00000000-0006-0000-0000-00002B020000}">
      <text>
        <r>
          <rPr>
            <b/>
            <sz val="9"/>
            <color indexed="81"/>
            <rFont val="Tahoma"/>
            <family val="2"/>
          </rPr>
          <t>mvargasb:</t>
        </r>
        <r>
          <rPr>
            <sz val="9"/>
            <color indexed="81"/>
            <rFont val="Tahoma"/>
            <family val="2"/>
          </rPr>
          <t xml:space="preserve">
ND
</t>
        </r>
      </text>
    </comment>
    <comment ref="F518" authorId="0" shapeId="0" xr:uid="{00000000-0006-0000-0000-00002C020000}">
      <text>
        <r>
          <rPr>
            <b/>
            <sz val="9"/>
            <color indexed="81"/>
            <rFont val="Tahoma"/>
            <family val="2"/>
          </rPr>
          <t>mvargasb:</t>
        </r>
        <r>
          <rPr>
            <sz val="9"/>
            <color indexed="81"/>
            <rFont val="Tahoma"/>
            <family val="2"/>
          </rPr>
          <t xml:space="preserve">
ND
</t>
        </r>
      </text>
    </comment>
    <comment ref="G518" authorId="0" shapeId="0" xr:uid="{00000000-0006-0000-0000-00002D020000}">
      <text>
        <r>
          <rPr>
            <b/>
            <sz val="9"/>
            <color indexed="81"/>
            <rFont val="Tahoma"/>
            <family val="2"/>
          </rPr>
          <t>mvargasb:</t>
        </r>
        <r>
          <rPr>
            <sz val="9"/>
            <color indexed="81"/>
            <rFont val="Tahoma"/>
            <family val="2"/>
          </rPr>
          <t xml:space="preserve">
ND
</t>
        </r>
      </text>
    </comment>
    <comment ref="H518" authorId="0" shapeId="0" xr:uid="{00000000-0006-0000-0000-00002E020000}">
      <text>
        <r>
          <rPr>
            <b/>
            <sz val="9"/>
            <color indexed="81"/>
            <rFont val="Tahoma"/>
            <family val="2"/>
          </rPr>
          <t>mvargasb:</t>
        </r>
        <r>
          <rPr>
            <sz val="9"/>
            <color indexed="81"/>
            <rFont val="Tahoma"/>
            <family val="2"/>
          </rPr>
          <t xml:space="preserve">
ND
</t>
        </r>
      </text>
    </comment>
    <comment ref="I518" authorId="0" shapeId="0" xr:uid="{00000000-0006-0000-0000-00002F020000}">
      <text>
        <r>
          <rPr>
            <b/>
            <sz val="9"/>
            <color indexed="81"/>
            <rFont val="Tahoma"/>
            <family val="2"/>
          </rPr>
          <t>mvargasb:</t>
        </r>
        <r>
          <rPr>
            <sz val="9"/>
            <color indexed="81"/>
            <rFont val="Tahoma"/>
            <family val="2"/>
          </rPr>
          <t xml:space="preserve">
ND
</t>
        </r>
      </text>
    </comment>
    <comment ref="J518" authorId="0" shapeId="0" xr:uid="{00000000-0006-0000-0000-000030020000}">
      <text>
        <r>
          <rPr>
            <b/>
            <sz val="9"/>
            <color indexed="81"/>
            <rFont val="Tahoma"/>
            <family val="2"/>
          </rPr>
          <t>mvargasb:</t>
        </r>
        <r>
          <rPr>
            <sz val="9"/>
            <color indexed="81"/>
            <rFont val="Tahoma"/>
            <family val="2"/>
          </rPr>
          <t xml:space="preserve">
ND
</t>
        </r>
      </text>
    </comment>
    <comment ref="K518" authorId="0" shapeId="0" xr:uid="{00000000-0006-0000-0000-000031020000}">
      <text>
        <r>
          <rPr>
            <b/>
            <sz val="9"/>
            <color indexed="81"/>
            <rFont val="Tahoma"/>
            <family val="2"/>
          </rPr>
          <t>mvargasb:</t>
        </r>
        <r>
          <rPr>
            <sz val="9"/>
            <color indexed="81"/>
            <rFont val="Tahoma"/>
            <family val="2"/>
          </rPr>
          <t xml:space="preserve">
ND
</t>
        </r>
      </text>
    </comment>
    <comment ref="C519" authorId="0" shapeId="0" xr:uid="{00000000-0006-0000-0000-000032020000}">
      <text>
        <r>
          <rPr>
            <b/>
            <sz val="9"/>
            <color indexed="81"/>
            <rFont val="Tahoma"/>
            <family val="2"/>
          </rPr>
          <t>mvargasb:</t>
        </r>
        <r>
          <rPr>
            <sz val="9"/>
            <color indexed="81"/>
            <rFont val="Tahoma"/>
            <family val="2"/>
          </rPr>
          <t xml:space="preserve">
ND
</t>
        </r>
      </text>
    </comment>
    <comment ref="D519" authorId="0" shapeId="0" xr:uid="{00000000-0006-0000-0000-000033020000}">
      <text>
        <r>
          <rPr>
            <b/>
            <sz val="9"/>
            <color indexed="81"/>
            <rFont val="Tahoma"/>
            <family val="2"/>
          </rPr>
          <t>mvargasb:</t>
        </r>
        <r>
          <rPr>
            <sz val="9"/>
            <color indexed="81"/>
            <rFont val="Tahoma"/>
            <family val="2"/>
          </rPr>
          <t xml:space="preserve">
ND
</t>
        </r>
      </text>
    </comment>
    <comment ref="E519" authorId="0" shapeId="0" xr:uid="{00000000-0006-0000-0000-000034020000}">
      <text>
        <r>
          <rPr>
            <b/>
            <sz val="9"/>
            <color indexed="81"/>
            <rFont val="Tahoma"/>
            <family val="2"/>
          </rPr>
          <t>mvargasb:</t>
        </r>
        <r>
          <rPr>
            <sz val="9"/>
            <color indexed="81"/>
            <rFont val="Tahoma"/>
            <family val="2"/>
          </rPr>
          <t xml:space="preserve">
ND
</t>
        </r>
      </text>
    </comment>
    <comment ref="F519" authorId="0" shapeId="0" xr:uid="{00000000-0006-0000-0000-000035020000}">
      <text>
        <r>
          <rPr>
            <b/>
            <sz val="9"/>
            <color indexed="81"/>
            <rFont val="Tahoma"/>
            <family val="2"/>
          </rPr>
          <t>mvargasb:</t>
        </r>
        <r>
          <rPr>
            <sz val="9"/>
            <color indexed="81"/>
            <rFont val="Tahoma"/>
            <family val="2"/>
          </rPr>
          <t xml:space="preserve">
ND
</t>
        </r>
      </text>
    </comment>
    <comment ref="G519" authorId="0" shapeId="0" xr:uid="{00000000-0006-0000-0000-000036020000}">
      <text>
        <r>
          <rPr>
            <b/>
            <sz val="9"/>
            <color indexed="81"/>
            <rFont val="Tahoma"/>
            <family val="2"/>
          </rPr>
          <t>mvargasb:</t>
        </r>
        <r>
          <rPr>
            <sz val="9"/>
            <color indexed="81"/>
            <rFont val="Tahoma"/>
            <family val="2"/>
          </rPr>
          <t xml:space="preserve">
ND
</t>
        </r>
      </text>
    </comment>
    <comment ref="H519" authorId="0" shapeId="0" xr:uid="{00000000-0006-0000-0000-000037020000}">
      <text>
        <r>
          <rPr>
            <b/>
            <sz val="9"/>
            <color indexed="81"/>
            <rFont val="Tahoma"/>
            <family val="2"/>
          </rPr>
          <t>mvargasb:</t>
        </r>
        <r>
          <rPr>
            <sz val="9"/>
            <color indexed="81"/>
            <rFont val="Tahoma"/>
            <family val="2"/>
          </rPr>
          <t xml:space="preserve">
ND
</t>
        </r>
      </text>
    </comment>
    <comment ref="I519" authorId="0" shapeId="0" xr:uid="{00000000-0006-0000-0000-000038020000}">
      <text>
        <r>
          <rPr>
            <b/>
            <sz val="9"/>
            <color indexed="81"/>
            <rFont val="Tahoma"/>
            <family val="2"/>
          </rPr>
          <t>mvargasb:</t>
        </r>
        <r>
          <rPr>
            <sz val="9"/>
            <color indexed="81"/>
            <rFont val="Tahoma"/>
            <family val="2"/>
          </rPr>
          <t xml:space="preserve">
ND
</t>
        </r>
      </text>
    </comment>
    <comment ref="J519" authorId="0" shapeId="0" xr:uid="{00000000-0006-0000-0000-000039020000}">
      <text>
        <r>
          <rPr>
            <b/>
            <sz val="9"/>
            <color indexed="81"/>
            <rFont val="Tahoma"/>
            <family val="2"/>
          </rPr>
          <t>mvargasb:</t>
        </r>
        <r>
          <rPr>
            <sz val="9"/>
            <color indexed="81"/>
            <rFont val="Tahoma"/>
            <family val="2"/>
          </rPr>
          <t xml:space="preserve">
ND
</t>
        </r>
      </text>
    </comment>
    <comment ref="K519" authorId="0" shapeId="0" xr:uid="{00000000-0006-0000-0000-00003A020000}">
      <text>
        <r>
          <rPr>
            <b/>
            <sz val="9"/>
            <color indexed="81"/>
            <rFont val="Tahoma"/>
            <family val="2"/>
          </rPr>
          <t>mvargasb:</t>
        </r>
        <r>
          <rPr>
            <sz val="9"/>
            <color indexed="81"/>
            <rFont val="Tahoma"/>
            <family val="2"/>
          </rPr>
          <t xml:space="preserve">
ND
</t>
        </r>
      </text>
    </comment>
    <comment ref="C521" authorId="0" shapeId="0" xr:uid="{00000000-0006-0000-0000-00003B020000}">
      <text>
        <r>
          <rPr>
            <b/>
            <sz val="9"/>
            <color indexed="81"/>
            <rFont val="Tahoma"/>
            <family val="2"/>
          </rPr>
          <t>mvargasb:</t>
        </r>
        <r>
          <rPr>
            <sz val="9"/>
            <color indexed="81"/>
            <rFont val="Tahoma"/>
            <family val="2"/>
          </rPr>
          <t xml:space="preserve">
ND
</t>
        </r>
      </text>
    </comment>
    <comment ref="D521" authorId="0" shapeId="0" xr:uid="{00000000-0006-0000-0000-00003C020000}">
      <text>
        <r>
          <rPr>
            <b/>
            <sz val="9"/>
            <color indexed="81"/>
            <rFont val="Tahoma"/>
            <family val="2"/>
          </rPr>
          <t>mvargasb:</t>
        </r>
        <r>
          <rPr>
            <sz val="9"/>
            <color indexed="81"/>
            <rFont val="Tahoma"/>
            <family val="2"/>
          </rPr>
          <t xml:space="preserve">
ND
</t>
        </r>
      </text>
    </comment>
    <comment ref="E521" authorId="0" shapeId="0" xr:uid="{00000000-0006-0000-0000-00003D020000}">
      <text>
        <r>
          <rPr>
            <b/>
            <sz val="9"/>
            <color indexed="81"/>
            <rFont val="Tahoma"/>
            <family val="2"/>
          </rPr>
          <t>mvargasb:</t>
        </r>
        <r>
          <rPr>
            <sz val="9"/>
            <color indexed="81"/>
            <rFont val="Tahoma"/>
            <family val="2"/>
          </rPr>
          <t xml:space="preserve">
ND
</t>
        </r>
      </text>
    </comment>
    <comment ref="F521" authorId="0" shapeId="0" xr:uid="{00000000-0006-0000-0000-00003E020000}">
      <text>
        <r>
          <rPr>
            <b/>
            <sz val="9"/>
            <color indexed="81"/>
            <rFont val="Tahoma"/>
            <family val="2"/>
          </rPr>
          <t>mvargasb:</t>
        </r>
        <r>
          <rPr>
            <sz val="9"/>
            <color indexed="81"/>
            <rFont val="Tahoma"/>
            <family val="2"/>
          </rPr>
          <t xml:space="preserve">
ND
</t>
        </r>
      </text>
    </comment>
    <comment ref="G521" authorId="0" shapeId="0" xr:uid="{00000000-0006-0000-0000-00003F020000}">
      <text>
        <r>
          <rPr>
            <b/>
            <sz val="9"/>
            <color indexed="81"/>
            <rFont val="Tahoma"/>
            <family val="2"/>
          </rPr>
          <t>mvargasb:</t>
        </r>
        <r>
          <rPr>
            <sz val="9"/>
            <color indexed="81"/>
            <rFont val="Tahoma"/>
            <family val="2"/>
          </rPr>
          <t xml:space="preserve">
ND
</t>
        </r>
      </text>
    </comment>
    <comment ref="H521" authorId="0" shapeId="0" xr:uid="{00000000-0006-0000-0000-000040020000}">
      <text>
        <r>
          <rPr>
            <b/>
            <sz val="9"/>
            <color indexed="81"/>
            <rFont val="Tahoma"/>
            <family val="2"/>
          </rPr>
          <t>mvargasb:</t>
        </r>
        <r>
          <rPr>
            <sz val="9"/>
            <color indexed="81"/>
            <rFont val="Tahoma"/>
            <family val="2"/>
          </rPr>
          <t xml:space="preserve">
ND
</t>
        </r>
      </text>
    </comment>
    <comment ref="I521" authorId="0" shapeId="0" xr:uid="{00000000-0006-0000-0000-000041020000}">
      <text>
        <r>
          <rPr>
            <b/>
            <sz val="9"/>
            <color indexed="81"/>
            <rFont val="Tahoma"/>
            <family val="2"/>
          </rPr>
          <t>mvargasb:</t>
        </r>
        <r>
          <rPr>
            <sz val="9"/>
            <color indexed="81"/>
            <rFont val="Tahoma"/>
            <family val="2"/>
          </rPr>
          <t xml:space="preserve">
ND
</t>
        </r>
      </text>
    </comment>
    <comment ref="J521" authorId="0" shapeId="0" xr:uid="{00000000-0006-0000-0000-000042020000}">
      <text>
        <r>
          <rPr>
            <b/>
            <sz val="9"/>
            <color indexed="81"/>
            <rFont val="Tahoma"/>
            <family val="2"/>
          </rPr>
          <t>mvargasb:</t>
        </r>
        <r>
          <rPr>
            <sz val="9"/>
            <color indexed="81"/>
            <rFont val="Tahoma"/>
            <family val="2"/>
          </rPr>
          <t xml:space="preserve">
ND
</t>
        </r>
      </text>
    </comment>
    <comment ref="K521" authorId="0" shapeId="0" xr:uid="{00000000-0006-0000-0000-000043020000}">
      <text>
        <r>
          <rPr>
            <b/>
            <sz val="9"/>
            <color indexed="81"/>
            <rFont val="Tahoma"/>
            <family val="2"/>
          </rPr>
          <t>mvargasb:</t>
        </r>
        <r>
          <rPr>
            <sz val="9"/>
            <color indexed="81"/>
            <rFont val="Tahoma"/>
            <family val="2"/>
          </rPr>
          <t xml:space="preserve">
ND
</t>
        </r>
      </text>
    </comment>
    <comment ref="C522" authorId="0" shapeId="0" xr:uid="{00000000-0006-0000-0000-000044020000}">
      <text>
        <r>
          <rPr>
            <b/>
            <sz val="9"/>
            <color indexed="81"/>
            <rFont val="Tahoma"/>
            <family val="2"/>
          </rPr>
          <t>mvargasb:</t>
        </r>
        <r>
          <rPr>
            <sz val="9"/>
            <color indexed="81"/>
            <rFont val="Tahoma"/>
            <family val="2"/>
          </rPr>
          <t xml:space="preserve">
ND
</t>
        </r>
      </text>
    </comment>
    <comment ref="D522" authorId="0" shapeId="0" xr:uid="{00000000-0006-0000-0000-000045020000}">
      <text>
        <r>
          <rPr>
            <b/>
            <sz val="9"/>
            <color indexed="81"/>
            <rFont val="Tahoma"/>
            <family val="2"/>
          </rPr>
          <t>mvargasb:</t>
        </r>
        <r>
          <rPr>
            <sz val="9"/>
            <color indexed="81"/>
            <rFont val="Tahoma"/>
            <family val="2"/>
          </rPr>
          <t xml:space="preserve">
ND
</t>
        </r>
      </text>
    </comment>
    <comment ref="E522" authorId="0" shapeId="0" xr:uid="{00000000-0006-0000-0000-000046020000}">
      <text>
        <r>
          <rPr>
            <b/>
            <sz val="9"/>
            <color indexed="81"/>
            <rFont val="Tahoma"/>
            <family val="2"/>
          </rPr>
          <t>mvargasb:</t>
        </r>
        <r>
          <rPr>
            <sz val="9"/>
            <color indexed="81"/>
            <rFont val="Tahoma"/>
            <family val="2"/>
          </rPr>
          <t xml:space="preserve">
ND
</t>
        </r>
      </text>
    </comment>
    <comment ref="F522" authorId="0" shapeId="0" xr:uid="{00000000-0006-0000-0000-000047020000}">
      <text>
        <r>
          <rPr>
            <b/>
            <sz val="9"/>
            <color indexed="81"/>
            <rFont val="Tahoma"/>
            <family val="2"/>
          </rPr>
          <t>mvargasb:</t>
        </r>
        <r>
          <rPr>
            <sz val="9"/>
            <color indexed="81"/>
            <rFont val="Tahoma"/>
            <family val="2"/>
          </rPr>
          <t xml:space="preserve">
ND
</t>
        </r>
      </text>
    </comment>
    <comment ref="G522" authorId="0" shapeId="0" xr:uid="{00000000-0006-0000-0000-000048020000}">
      <text>
        <r>
          <rPr>
            <b/>
            <sz val="9"/>
            <color indexed="81"/>
            <rFont val="Tahoma"/>
            <family val="2"/>
          </rPr>
          <t>mvargasb:</t>
        </r>
        <r>
          <rPr>
            <sz val="9"/>
            <color indexed="81"/>
            <rFont val="Tahoma"/>
            <family val="2"/>
          </rPr>
          <t xml:space="preserve">
ND
</t>
        </r>
      </text>
    </comment>
    <comment ref="H522" authorId="0" shapeId="0" xr:uid="{00000000-0006-0000-0000-000049020000}">
      <text>
        <r>
          <rPr>
            <b/>
            <sz val="9"/>
            <color indexed="81"/>
            <rFont val="Tahoma"/>
            <family val="2"/>
          </rPr>
          <t>mvargasb:</t>
        </r>
        <r>
          <rPr>
            <sz val="9"/>
            <color indexed="81"/>
            <rFont val="Tahoma"/>
            <family val="2"/>
          </rPr>
          <t xml:space="preserve">
ND
</t>
        </r>
      </text>
    </comment>
    <comment ref="I522" authorId="0" shapeId="0" xr:uid="{00000000-0006-0000-0000-00004A020000}">
      <text>
        <r>
          <rPr>
            <b/>
            <sz val="9"/>
            <color indexed="81"/>
            <rFont val="Tahoma"/>
            <family val="2"/>
          </rPr>
          <t>mvargasb:</t>
        </r>
        <r>
          <rPr>
            <sz val="9"/>
            <color indexed="81"/>
            <rFont val="Tahoma"/>
            <family val="2"/>
          </rPr>
          <t xml:space="preserve">
ND
</t>
        </r>
      </text>
    </comment>
    <comment ref="J522" authorId="0" shapeId="0" xr:uid="{00000000-0006-0000-0000-00004B020000}">
      <text>
        <r>
          <rPr>
            <b/>
            <sz val="9"/>
            <color indexed="81"/>
            <rFont val="Tahoma"/>
            <family val="2"/>
          </rPr>
          <t>mvargasb:</t>
        </r>
        <r>
          <rPr>
            <sz val="9"/>
            <color indexed="81"/>
            <rFont val="Tahoma"/>
            <family val="2"/>
          </rPr>
          <t xml:space="preserve">
ND
</t>
        </r>
      </text>
    </comment>
    <comment ref="K522" authorId="0" shapeId="0" xr:uid="{00000000-0006-0000-0000-00004C020000}">
      <text>
        <r>
          <rPr>
            <b/>
            <sz val="9"/>
            <color indexed="81"/>
            <rFont val="Tahoma"/>
            <family val="2"/>
          </rPr>
          <t>mvargasb:</t>
        </r>
        <r>
          <rPr>
            <sz val="9"/>
            <color indexed="81"/>
            <rFont val="Tahoma"/>
            <family val="2"/>
          </rPr>
          <t xml:space="preserve">
ND
</t>
        </r>
      </text>
    </comment>
    <comment ref="C529" authorId="3" shapeId="0" xr:uid="{00000000-0006-0000-0000-00004D020000}">
      <text>
        <r>
          <rPr>
            <b/>
            <sz val="9"/>
            <color indexed="81"/>
            <rFont val="Tahoma"/>
            <family val="2"/>
          </rPr>
          <t>Jesus:</t>
        </r>
        <r>
          <rPr>
            <sz val="9"/>
            <color indexed="81"/>
            <rFont val="Tahoma"/>
            <family val="2"/>
          </rPr>
          <t xml:space="preserve">
No disponible
</t>
        </r>
      </text>
    </comment>
    <comment ref="D529" authorId="3" shapeId="0" xr:uid="{00000000-0006-0000-0000-00004E020000}">
      <text>
        <r>
          <rPr>
            <b/>
            <sz val="9"/>
            <color indexed="81"/>
            <rFont val="Tahoma"/>
            <family val="2"/>
          </rPr>
          <t>Jesus:</t>
        </r>
        <r>
          <rPr>
            <sz val="9"/>
            <color indexed="81"/>
            <rFont val="Tahoma"/>
            <family val="2"/>
          </rPr>
          <t xml:space="preserve">
No disponible
</t>
        </r>
      </text>
    </comment>
    <comment ref="E529" authorId="3" shapeId="0" xr:uid="{00000000-0006-0000-0000-00004F020000}">
      <text>
        <r>
          <rPr>
            <b/>
            <sz val="9"/>
            <color indexed="81"/>
            <rFont val="Tahoma"/>
            <family val="2"/>
          </rPr>
          <t>Jesus:</t>
        </r>
        <r>
          <rPr>
            <sz val="9"/>
            <color indexed="81"/>
            <rFont val="Tahoma"/>
            <family val="2"/>
          </rPr>
          <t xml:space="preserve">
No disponible
</t>
        </r>
      </text>
    </comment>
    <comment ref="F529" authorId="3" shapeId="0" xr:uid="{00000000-0006-0000-0000-000050020000}">
      <text>
        <r>
          <rPr>
            <b/>
            <sz val="9"/>
            <color indexed="81"/>
            <rFont val="Tahoma"/>
            <family val="2"/>
          </rPr>
          <t>Jesus:</t>
        </r>
        <r>
          <rPr>
            <sz val="9"/>
            <color indexed="81"/>
            <rFont val="Tahoma"/>
            <family val="2"/>
          </rPr>
          <t xml:space="preserve">
No disponible
</t>
        </r>
      </text>
    </comment>
    <comment ref="G529" authorId="3" shapeId="0" xr:uid="{00000000-0006-0000-0000-000051020000}">
      <text>
        <r>
          <rPr>
            <b/>
            <sz val="9"/>
            <color indexed="81"/>
            <rFont val="Tahoma"/>
            <family val="2"/>
          </rPr>
          <t>Jesus:</t>
        </r>
        <r>
          <rPr>
            <sz val="9"/>
            <color indexed="81"/>
            <rFont val="Tahoma"/>
            <family val="2"/>
          </rPr>
          <t xml:space="preserve">
No disponible
</t>
        </r>
      </text>
    </comment>
    <comment ref="H529" authorId="3" shapeId="0" xr:uid="{00000000-0006-0000-0000-000052020000}">
      <text>
        <r>
          <rPr>
            <b/>
            <sz val="9"/>
            <color indexed="81"/>
            <rFont val="Tahoma"/>
            <family val="2"/>
          </rPr>
          <t>Jesus:</t>
        </r>
        <r>
          <rPr>
            <sz val="9"/>
            <color indexed="81"/>
            <rFont val="Tahoma"/>
            <family val="2"/>
          </rPr>
          <t xml:space="preserve">
No disponible
</t>
        </r>
      </text>
    </comment>
    <comment ref="I529" authorId="3" shapeId="0" xr:uid="{00000000-0006-0000-0000-000053020000}">
      <text>
        <r>
          <rPr>
            <b/>
            <sz val="9"/>
            <color indexed="81"/>
            <rFont val="Tahoma"/>
            <family val="2"/>
          </rPr>
          <t>Jesus:</t>
        </r>
        <r>
          <rPr>
            <sz val="9"/>
            <color indexed="81"/>
            <rFont val="Tahoma"/>
            <family val="2"/>
          </rPr>
          <t xml:space="preserve">
No disponible
</t>
        </r>
      </text>
    </comment>
    <comment ref="J529" authorId="3" shapeId="0" xr:uid="{00000000-0006-0000-0000-000054020000}">
      <text>
        <r>
          <rPr>
            <b/>
            <sz val="9"/>
            <color indexed="81"/>
            <rFont val="Tahoma"/>
            <family val="2"/>
          </rPr>
          <t>Jesus:</t>
        </r>
        <r>
          <rPr>
            <sz val="9"/>
            <color indexed="81"/>
            <rFont val="Tahoma"/>
            <family val="2"/>
          </rPr>
          <t xml:space="preserve">
No disponible
</t>
        </r>
      </text>
    </comment>
    <comment ref="K529" authorId="3" shapeId="0" xr:uid="{00000000-0006-0000-0000-000055020000}">
      <text>
        <r>
          <rPr>
            <b/>
            <sz val="9"/>
            <color indexed="81"/>
            <rFont val="Tahoma"/>
            <family val="2"/>
          </rPr>
          <t>Jesus:</t>
        </r>
        <r>
          <rPr>
            <sz val="9"/>
            <color indexed="81"/>
            <rFont val="Tahoma"/>
            <family val="2"/>
          </rPr>
          <t xml:space="preserve">
No disponible
</t>
        </r>
      </text>
    </comment>
    <comment ref="L529" authorId="3" shapeId="0" xr:uid="{00000000-0006-0000-0000-000056020000}">
      <text>
        <r>
          <rPr>
            <b/>
            <sz val="9"/>
            <color indexed="81"/>
            <rFont val="Tahoma"/>
            <family val="2"/>
          </rPr>
          <t>Jesus:</t>
        </r>
        <r>
          <rPr>
            <sz val="9"/>
            <color indexed="81"/>
            <rFont val="Tahoma"/>
            <family val="2"/>
          </rPr>
          <t xml:space="preserve">
No disponible
</t>
        </r>
      </text>
    </comment>
    <comment ref="M529" authorId="3" shapeId="0" xr:uid="{00000000-0006-0000-0000-000057020000}">
      <text>
        <r>
          <rPr>
            <b/>
            <sz val="9"/>
            <color indexed="81"/>
            <rFont val="Tahoma"/>
            <family val="2"/>
          </rPr>
          <t>Jesus:</t>
        </r>
        <r>
          <rPr>
            <sz val="9"/>
            <color indexed="81"/>
            <rFont val="Tahoma"/>
            <family val="2"/>
          </rPr>
          <t xml:space="preserve">
No disponible
</t>
        </r>
      </text>
    </comment>
    <comment ref="N529" authorId="3" shapeId="0" xr:uid="{00000000-0006-0000-0000-000058020000}">
      <text>
        <r>
          <rPr>
            <b/>
            <sz val="9"/>
            <color indexed="81"/>
            <rFont val="Tahoma"/>
            <family val="2"/>
          </rPr>
          <t>Jesus:</t>
        </r>
        <r>
          <rPr>
            <sz val="9"/>
            <color indexed="81"/>
            <rFont val="Tahoma"/>
            <family val="2"/>
          </rPr>
          <t xml:space="preserve">
No disponible
</t>
        </r>
      </text>
    </comment>
    <comment ref="O529" authorId="3" shapeId="0" xr:uid="{00000000-0006-0000-0000-000059020000}">
      <text>
        <r>
          <rPr>
            <b/>
            <sz val="9"/>
            <color indexed="81"/>
            <rFont val="Tahoma"/>
            <family val="2"/>
          </rPr>
          <t>Jesus:</t>
        </r>
        <r>
          <rPr>
            <sz val="9"/>
            <color indexed="81"/>
            <rFont val="Tahoma"/>
            <family val="2"/>
          </rPr>
          <t xml:space="preserve">
No disponible
</t>
        </r>
      </text>
    </comment>
    <comment ref="P529" authorId="3" shapeId="0" xr:uid="{00000000-0006-0000-0000-00005A020000}">
      <text>
        <r>
          <rPr>
            <b/>
            <sz val="9"/>
            <color indexed="81"/>
            <rFont val="Tahoma"/>
            <family val="2"/>
          </rPr>
          <t>Jesus:</t>
        </r>
        <r>
          <rPr>
            <sz val="9"/>
            <color indexed="81"/>
            <rFont val="Tahoma"/>
            <family val="2"/>
          </rPr>
          <t xml:space="preserve">
No disponible
</t>
        </r>
      </text>
    </comment>
    <comment ref="Q529" authorId="3" shapeId="0" xr:uid="{00000000-0006-0000-0000-00005B020000}">
      <text>
        <r>
          <rPr>
            <b/>
            <sz val="9"/>
            <color indexed="81"/>
            <rFont val="Tahoma"/>
            <family val="2"/>
          </rPr>
          <t>Jesus:</t>
        </r>
        <r>
          <rPr>
            <sz val="9"/>
            <color indexed="81"/>
            <rFont val="Tahoma"/>
            <family val="2"/>
          </rPr>
          <t xml:space="preserve">
No disponible
</t>
        </r>
      </text>
    </comment>
    <comment ref="R529" authorId="3" shapeId="0" xr:uid="{00000000-0006-0000-0000-00005C020000}">
      <text>
        <r>
          <rPr>
            <b/>
            <sz val="9"/>
            <color indexed="81"/>
            <rFont val="Tahoma"/>
            <family val="2"/>
          </rPr>
          <t>Jesus:</t>
        </r>
        <r>
          <rPr>
            <sz val="9"/>
            <color indexed="81"/>
            <rFont val="Tahoma"/>
            <family val="2"/>
          </rPr>
          <t xml:space="preserve">
No disponible
</t>
        </r>
      </text>
    </comment>
    <comment ref="S529" authorId="3" shapeId="0" xr:uid="{00000000-0006-0000-0000-00005D020000}">
      <text>
        <r>
          <rPr>
            <b/>
            <sz val="9"/>
            <color indexed="81"/>
            <rFont val="Tahoma"/>
            <family val="2"/>
          </rPr>
          <t>Jesus:</t>
        </r>
        <r>
          <rPr>
            <sz val="9"/>
            <color indexed="81"/>
            <rFont val="Tahoma"/>
            <family val="2"/>
          </rPr>
          <t xml:space="preserve">
No disponible
</t>
        </r>
      </text>
    </comment>
    <comment ref="T529" authorId="3" shapeId="0" xr:uid="{00000000-0006-0000-0000-00005E020000}">
      <text>
        <r>
          <rPr>
            <b/>
            <sz val="9"/>
            <color indexed="81"/>
            <rFont val="Tahoma"/>
            <family val="2"/>
          </rPr>
          <t>Jesus:</t>
        </r>
        <r>
          <rPr>
            <sz val="9"/>
            <color indexed="81"/>
            <rFont val="Tahoma"/>
            <family val="2"/>
          </rPr>
          <t xml:space="preserve">
No disponible
</t>
        </r>
      </text>
    </comment>
    <comment ref="U529" authorId="3" shapeId="0" xr:uid="{00000000-0006-0000-0000-00005F020000}">
      <text>
        <r>
          <rPr>
            <b/>
            <sz val="9"/>
            <color indexed="81"/>
            <rFont val="Tahoma"/>
            <family val="2"/>
          </rPr>
          <t>Jesus:</t>
        </r>
        <r>
          <rPr>
            <sz val="9"/>
            <color indexed="81"/>
            <rFont val="Tahoma"/>
            <family val="2"/>
          </rPr>
          <t xml:space="preserve">
No disponible
</t>
        </r>
      </text>
    </comment>
    <comment ref="C530" authorId="3" shapeId="0" xr:uid="{00000000-0006-0000-0000-000060020000}">
      <text>
        <r>
          <rPr>
            <b/>
            <sz val="9"/>
            <color indexed="81"/>
            <rFont val="Tahoma"/>
            <family val="2"/>
          </rPr>
          <t>Jesus:</t>
        </r>
        <r>
          <rPr>
            <sz val="9"/>
            <color indexed="81"/>
            <rFont val="Tahoma"/>
            <family val="2"/>
          </rPr>
          <t xml:space="preserve">
No disponible
</t>
        </r>
      </text>
    </comment>
    <comment ref="D530" authorId="3" shapeId="0" xr:uid="{00000000-0006-0000-0000-000061020000}">
      <text>
        <r>
          <rPr>
            <b/>
            <sz val="9"/>
            <color indexed="81"/>
            <rFont val="Tahoma"/>
            <family val="2"/>
          </rPr>
          <t>Jesus:</t>
        </r>
        <r>
          <rPr>
            <sz val="9"/>
            <color indexed="81"/>
            <rFont val="Tahoma"/>
            <family val="2"/>
          </rPr>
          <t xml:space="preserve">
No disponible
</t>
        </r>
      </text>
    </comment>
    <comment ref="E530" authorId="3" shapeId="0" xr:uid="{00000000-0006-0000-0000-000062020000}">
      <text>
        <r>
          <rPr>
            <b/>
            <sz val="9"/>
            <color indexed="81"/>
            <rFont val="Tahoma"/>
            <family val="2"/>
          </rPr>
          <t>Jesus:</t>
        </r>
        <r>
          <rPr>
            <sz val="9"/>
            <color indexed="81"/>
            <rFont val="Tahoma"/>
            <family val="2"/>
          </rPr>
          <t xml:space="preserve">
No disponible
</t>
        </r>
      </text>
    </comment>
    <comment ref="F530" authorId="3" shapeId="0" xr:uid="{00000000-0006-0000-0000-000063020000}">
      <text>
        <r>
          <rPr>
            <b/>
            <sz val="9"/>
            <color indexed="81"/>
            <rFont val="Tahoma"/>
            <family val="2"/>
          </rPr>
          <t>Jesus:</t>
        </r>
        <r>
          <rPr>
            <sz val="9"/>
            <color indexed="81"/>
            <rFont val="Tahoma"/>
            <family val="2"/>
          </rPr>
          <t xml:space="preserve">
No disponible
</t>
        </r>
      </text>
    </comment>
    <comment ref="G530" authorId="3" shapeId="0" xr:uid="{00000000-0006-0000-0000-000064020000}">
      <text>
        <r>
          <rPr>
            <b/>
            <sz val="9"/>
            <color indexed="81"/>
            <rFont val="Tahoma"/>
            <family val="2"/>
          </rPr>
          <t>Jesus:</t>
        </r>
        <r>
          <rPr>
            <sz val="9"/>
            <color indexed="81"/>
            <rFont val="Tahoma"/>
            <family val="2"/>
          </rPr>
          <t xml:space="preserve">
No disponible
</t>
        </r>
      </text>
    </comment>
    <comment ref="H530" authorId="3" shapeId="0" xr:uid="{00000000-0006-0000-0000-000065020000}">
      <text>
        <r>
          <rPr>
            <b/>
            <sz val="9"/>
            <color indexed="81"/>
            <rFont val="Tahoma"/>
            <family val="2"/>
          </rPr>
          <t>Jesus:</t>
        </r>
        <r>
          <rPr>
            <sz val="9"/>
            <color indexed="81"/>
            <rFont val="Tahoma"/>
            <family val="2"/>
          </rPr>
          <t xml:space="preserve">
No disponible
</t>
        </r>
      </text>
    </comment>
    <comment ref="I530" authorId="3" shapeId="0" xr:uid="{00000000-0006-0000-0000-000066020000}">
      <text>
        <r>
          <rPr>
            <b/>
            <sz val="9"/>
            <color indexed="81"/>
            <rFont val="Tahoma"/>
            <family val="2"/>
          </rPr>
          <t>Jesus:</t>
        </r>
        <r>
          <rPr>
            <sz val="9"/>
            <color indexed="81"/>
            <rFont val="Tahoma"/>
            <family val="2"/>
          </rPr>
          <t xml:space="preserve">
No disponible
</t>
        </r>
      </text>
    </comment>
    <comment ref="J530" authorId="3" shapeId="0" xr:uid="{00000000-0006-0000-0000-000067020000}">
      <text>
        <r>
          <rPr>
            <b/>
            <sz val="9"/>
            <color indexed="81"/>
            <rFont val="Tahoma"/>
            <family val="2"/>
          </rPr>
          <t>Jesus:</t>
        </r>
        <r>
          <rPr>
            <sz val="9"/>
            <color indexed="81"/>
            <rFont val="Tahoma"/>
            <family val="2"/>
          </rPr>
          <t xml:space="preserve">
No disponible
</t>
        </r>
      </text>
    </comment>
    <comment ref="K530" authorId="3" shapeId="0" xr:uid="{00000000-0006-0000-0000-000068020000}">
      <text>
        <r>
          <rPr>
            <b/>
            <sz val="9"/>
            <color indexed="81"/>
            <rFont val="Tahoma"/>
            <family val="2"/>
          </rPr>
          <t>Jesus:</t>
        </r>
        <r>
          <rPr>
            <sz val="9"/>
            <color indexed="81"/>
            <rFont val="Tahoma"/>
            <family val="2"/>
          </rPr>
          <t xml:space="preserve">
No disponible
</t>
        </r>
      </text>
    </comment>
    <comment ref="L530" authorId="3" shapeId="0" xr:uid="{00000000-0006-0000-0000-000069020000}">
      <text>
        <r>
          <rPr>
            <b/>
            <sz val="9"/>
            <color indexed="81"/>
            <rFont val="Tahoma"/>
            <family val="2"/>
          </rPr>
          <t>Jesus:</t>
        </r>
        <r>
          <rPr>
            <sz val="9"/>
            <color indexed="81"/>
            <rFont val="Tahoma"/>
            <family val="2"/>
          </rPr>
          <t xml:space="preserve">
No disponible
</t>
        </r>
      </text>
    </comment>
    <comment ref="M530" authorId="3" shapeId="0" xr:uid="{00000000-0006-0000-0000-00006A020000}">
      <text>
        <r>
          <rPr>
            <b/>
            <sz val="9"/>
            <color indexed="81"/>
            <rFont val="Tahoma"/>
            <family val="2"/>
          </rPr>
          <t>Jesus:</t>
        </r>
        <r>
          <rPr>
            <sz val="9"/>
            <color indexed="81"/>
            <rFont val="Tahoma"/>
            <family val="2"/>
          </rPr>
          <t xml:space="preserve">
No disponible
</t>
        </r>
      </text>
    </comment>
    <comment ref="N530" authorId="3" shapeId="0" xr:uid="{00000000-0006-0000-0000-00006B020000}">
      <text>
        <r>
          <rPr>
            <b/>
            <sz val="9"/>
            <color indexed="81"/>
            <rFont val="Tahoma"/>
            <family val="2"/>
          </rPr>
          <t>Jesus:</t>
        </r>
        <r>
          <rPr>
            <sz val="9"/>
            <color indexed="81"/>
            <rFont val="Tahoma"/>
            <family val="2"/>
          </rPr>
          <t xml:space="preserve">
No disponible
</t>
        </r>
      </text>
    </comment>
    <comment ref="O530" authorId="3" shapeId="0" xr:uid="{00000000-0006-0000-0000-00006C020000}">
      <text>
        <r>
          <rPr>
            <b/>
            <sz val="9"/>
            <color indexed="81"/>
            <rFont val="Tahoma"/>
            <family val="2"/>
          </rPr>
          <t>Jesus:</t>
        </r>
        <r>
          <rPr>
            <sz val="9"/>
            <color indexed="81"/>
            <rFont val="Tahoma"/>
            <family val="2"/>
          </rPr>
          <t xml:space="preserve">
No disponible
</t>
        </r>
      </text>
    </comment>
    <comment ref="P530" authorId="3" shapeId="0" xr:uid="{00000000-0006-0000-0000-00006D020000}">
      <text>
        <r>
          <rPr>
            <b/>
            <sz val="9"/>
            <color indexed="81"/>
            <rFont val="Tahoma"/>
            <family val="2"/>
          </rPr>
          <t>Jesus:</t>
        </r>
        <r>
          <rPr>
            <sz val="9"/>
            <color indexed="81"/>
            <rFont val="Tahoma"/>
            <family val="2"/>
          </rPr>
          <t xml:space="preserve">
No disponible
</t>
        </r>
      </text>
    </comment>
    <comment ref="Q530" authorId="3" shapeId="0" xr:uid="{00000000-0006-0000-0000-00006E020000}">
      <text>
        <r>
          <rPr>
            <b/>
            <sz val="9"/>
            <color indexed="81"/>
            <rFont val="Tahoma"/>
            <family val="2"/>
          </rPr>
          <t>Jesus:</t>
        </r>
        <r>
          <rPr>
            <sz val="9"/>
            <color indexed="81"/>
            <rFont val="Tahoma"/>
            <family val="2"/>
          </rPr>
          <t xml:space="preserve">
No disponible
</t>
        </r>
      </text>
    </comment>
    <comment ref="R530" authorId="3" shapeId="0" xr:uid="{00000000-0006-0000-0000-00006F020000}">
      <text>
        <r>
          <rPr>
            <b/>
            <sz val="9"/>
            <color indexed="81"/>
            <rFont val="Tahoma"/>
            <family val="2"/>
          </rPr>
          <t>Jesus:</t>
        </r>
        <r>
          <rPr>
            <sz val="9"/>
            <color indexed="81"/>
            <rFont val="Tahoma"/>
            <family val="2"/>
          </rPr>
          <t xml:space="preserve">
No disponible
</t>
        </r>
      </text>
    </comment>
    <comment ref="S530" authorId="3" shapeId="0" xr:uid="{00000000-0006-0000-0000-000070020000}">
      <text>
        <r>
          <rPr>
            <b/>
            <sz val="9"/>
            <color indexed="81"/>
            <rFont val="Tahoma"/>
            <family val="2"/>
          </rPr>
          <t>Jesus:</t>
        </r>
        <r>
          <rPr>
            <sz val="9"/>
            <color indexed="81"/>
            <rFont val="Tahoma"/>
            <family val="2"/>
          </rPr>
          <t xml:space="preserve">
No disponible
</t>
        </r>
      </text>
    </comment>
    <comment ref="T530" authorId="3" shapeId="0" xr:uid="{00000000-0006-0000-0000-000071020000}">
      <text>
        <r>
          <rPr>
            <b/>
            <sz val="9"/>
            <color indexed="81"/>
            <rFont val="Tahoma"/>
            <family val="2"/>
          </rPr>
          <t>Jesus:</t>
        </r>
        <r>
          <rPr>
            <sz val="9"/>
            <color indexed="81"/>
            <rFont val="Tahoma"/>
            <family val="2"/>
          </rPr>
          <t xml:space="preserve">
No disponible
</t>
        </r>
      </text>
    </comment>
    <comment ref="U530" authorId="3" shapeId="0" xr:uid="{00000000-0006-0000-0000-000072020000}">
      <text>
        <r>
          <rPr>
            <b/>
            <sz val="9"/>
            <color indexed="81"/>
            <rFont val="Tahoma"/>
            <family val="2"/>
          </rPr>
          <t>Jesus:</t>
        </r>
        <r>
          <rPr>
            <sz val="9"/>
            <color indexed="81"/>
            <rFont val="Tahoma"/>
            <family val="2"/>
          </rPr>
          <t xml:space="preserve">
No disponible
</t>
        </r>
      </text>
    </comment>
    <comment ref="V542" authorId="2" shapeId="0" xr:uid="{7EFB1331-6B43-491E-9D79-CAEBDF0EEAF3}">
      <text>
        <r>
          <rPr>
            <b/>
            <sz val="9"/>
            <color indexed="81"/>
            <rFont val="Tahoma"/>
            <family val="2"/>
          </rPr>
          <t>Marlen Vargas Benavides:</t>
        </r>
        <r>
          <rPr>
            <sz val="9"/>
            <color indexed="81"/>
            <rFont val="Tahoma"/>
            <family val="2"/>
          </rPr>
          <t xml:space="preserve">
en los cuadros son 375
</t>
        </r>
      </text>
    </comment>
    <comment ref="M544" authorId="3" shapeId="0" xr:uid="{00000000-0006-0000-0000-000073020000}">
      <text>
        <r>
          <rPr>
            <sz val="9"/>
            <color indexed="81"/>
            <rFont val="Tahoma"/>
            <family val="2"/>
          </rPr>
          <t>todos, flagrancia y ordinarios que tramitaron como apoyo</t>
        </r>
      </text>
    </comment>
    <comment ref="N544" authorId="3" shapeId="0" xr:uid="{00000000-0006-0000-0000-000074020000}">
      <text>
        <r>
          <rPr>
            <sz val="9"/>
            <color indexed="81"/>
            <rFont val="Tahoma"/>
            <family val="2"/>
          </rPr>
          <t>menos 434 remiti
dos a flagrancia de los ordinarios</t>
        </r>
      </text>
    </comment>
    <comment ref="O544" authorId="3" shapeId="0" xr:uid="{00000000-0006-0000-0000-000075020000}">
      <text>
        <r>
          <rPr>
            <sz val="9"/>
            <color indexed="81"/>
            <rFont val="Tahoma"/>
            <family val="2"/>
          </rPr>
          <t>menos 434 remiti
dos a flagrancia de los ordinarios</t>
        </r>
      </text>
    </comment>
    <comment ref="C545" authorId="2" shapeId="0" xr:uid="{97384985-2254-40A6-9E96-3FA8A832339A}">
      <text>
        <r>
          <rPr>
            <b/>
            <sz val="9"/>
            <color indexed="81"/>
            <rFont val="Tahoma"/>
            <family val="2"/>
          </rPr>
          <t>Marlen Vargas Benavides:</t>
        </r>
        <r>
          <rPr>
            <sz val="9"/>
            <color indexed="81"/>
            <rFont val="Tahoma"/>
            <family val="2"/>
          </rPr>
          <t xml:space="preserve">
con ajuste</t>
        </r>
      </text>
    </comment>
    <comment ref="D545" authorId="2" shapeId="0" xr:uid="{4749A93B-A816-439B-AAA8-928D0D6C7106}">
      <text>
        <r>
          <rPr>
            <b/>
            <sz val="9"/>
            <color indexed="81"/>
            <rFont val="Tahoma"/>
            <family val="2"/>
          </rPr>
          <t>Marlen Vargas Benavides:</t>
        </r>
        <r>
          <rPr>
            <sz val="9"/>
            <color indexed="81"/>
            <rFont val="Tahoma"/>
            <family val="2"/>
          </rPr>
          <t xml:space="preserve">
con ajuste</t>
        </r>
      </text>
    </comment>
    <comment ref="E545" authorId="2" shapeId="0" xr:uid="{8A20AFB8-B56B-4A52-AF07-53CFE0845448}">
      <text>
        <r>
          <rPr>
            <b/>
            <sz val="9"/>
            <color indexed="81"/>
            <rFont val="Tahoma"/>
            <family val="2"/>
          </rPr>
          <t>Marlen Vargas Benavides:</t>
        </r>
        <r>
          <rPr>
            <sz val="9"/>
            <color indexed="81"/>
            <rFont val="Tahoma"/>
            <family val="2"/>
          </rPr>
          <t xml:space="preserve">
con ajuste</t>
        </r>
      </text>
    </comment>
    <comment ref="F545" authorId="2" shapeId="0" xr:uid="{7379D06C-FA0A-461E-A749-2D5C256BCC56}">
      <text>
        <r>
          <rPr>
            <b/>
            <sz val="9"/>
            <color indexed="81"/>
            <rFont val="Tahoma"/>
            <family val="2"/>
          </rPr>
          <t>Marlen Vargas Benavides:</t>
        </r>
        <r>
          <rPr>
            <sz val="9"/>
            <color indexed="81"/>
            <rFont val="Tahoma"/>
            <family val="2"/>
          </rPr>
          <t xml:space="preserve">
con ajuste</t>
        </r>
      </text>
    </comment>
    <comment ref="G545" authorId="2" shapeId="0" xr:uid="{9198FE14-58A4-43B5-B84F-CD2B2140CE74}">
      <text>
        <r>
          <rPr>
            <b/>
            <sz val="9"/>
            <color indexed="81"/>
            <rFont val="Tahoma"/>
            <family val="2"/>
          </rPr>
          <t>Marlen Vargas Benavides:</t>
        </r>
        <r>
          <rPr>
            <sz val="9"/>
            <color indexed="81"/>
            <rFont val="Tahoma"/>
            <family val="2"/>
          </rPr>
          <t xml:space="preserve">
con ajuste</t>
        </r>
      </text>
    </comment>
    <comment ref="H545" authorId="2" shapeId="0" xr:uid="{B0887597-2A8A-4DC6-9282-E4B0E653D4A0}">
      <text>
        <r>
          <rPr>
            <b/>
            <sz val="9"/>
            <color indexed="81"/>
            <rFont val="Tahoma"/>
            <family val="2"/>
          </rPr>
          <t>Marlen Vargas Benavides:</t>
        </r>
        <r>
          <rPr>
            <sz val="9"/>
            <color indexed="81"/>
            <rFont val="Tahoma"/>
            <family val="2"/>
          </rPr>
          <t xml:space="preserve">
con ajuste</t>
        </r>
      </text>
    </comment>
    <comment ref="I545" authorId="2" shapeId="0" xr:uid="{9E2EC6C2-A95B-4FBD-B576-9A5769C8F469}">
      <text>
        <r>
          <rPr>
            <b/>
            <sz val="9"/>
            <color indexed="81"/>
            <rFont val="Tahoma"/>
            <family val="2"/>
          </rPr>
          <t>Marlen Vargas Benavides:</t>
        </r>
        <r>
          <rPr>
            <sz val="9"/>
            <color indexed="81"/>
            <rFont val="Tahoma"/>
            <family val="2"/>
          </rPr>
          <t xml:space="preserve">
con ajuste</t>
        </r>
      </text>
    </comment>
    <comment ref="J545" authorId="2" shapeId="0" xr:uid="{80763056-5946-4453-976F-B883EA466D2F}">
      <text>
        <r>
          <rPr>
            <b/>
            <sz val="9"/>
            <color indexed="81"/>
            <rFont val="Tahoma"/>
            <family val="2"/>
          </rPr>
          <t>Marlen Vargas Benavides:</t>
        </r>
        <r>
          <rPr>
            <sz val="9"/>
            <color indexed="81"/>
            <rFont val="Tahoma"/>
            <family val="2"/>
          </rPr>
          <t xml:space="preserve">
con ajuste</t>
        </r>
      </text>
    </comment>
    <comment ref="K545" authorId="2" shapeId="0" xr:uid="{4F370C69-1F07-4DBD-8AC6-ED1185CF7B7A}">
      <text>
        <r>
          <rPr>
            <b/>
            <sz val="9"/>
            <color indexed="81"/>
            <rFont val="Tahoma"/>
            <family val="2"/>
          </rPr>
          <t>Marlen Vargas Benavides:</t>
        </r>
        <r>
          <rPr>
            <sz val="9"/>
            <color indexed="81"/>
            <rFont val="Tahoma"/>
            <family val="2"/>
          </rPr>
          <t xml:space="preserve">
con ajuste</t>
        </r>
      </text>
    </comment>
    <comment ref="L545" authorId="2" shapeId="0" xr:uid="{1136D589-6930-4089-A5A1-3C0AAA146D42}">
      <text>
        <r>
          <rPr>
            <b/>
            <sz val="9"/>
            <color indexed="81"/>
            <rFont val="Tahoma"/>
            <family val="2"/>
          </rPr>
          <t>Marlen Vargas Benavides:</t>
        </r>
        <r>
          <rPr>
            <sz val="9"/>
            <color indexed="81"/>
            <rFont val="Tahoma"/>
            <family val="2"/>
          </rPr>
          <t xml:space="preserve">
con ajuste</t>
        </r>
      </text>
    </comment>
    <comment ref="N545" authorId="2" shapeId="0" xr:uid="{8A6B2D70-C687-4311-B650-D5246EC15E4B}">
      <text>
        <r>
          <rPr>
            <b/>
            <sz val="9"/>
            <color indexed="81"/>
            <rFont val="Tahoma"/>
            <family val="2"/>
          </rPr>
          <t>Marlen Vargas Benavides:</t>
        </r>
        <r>
          <rPr>
            <sz val="9"/>
            <color indexed="81"/>
            <rFont val="Tahoma"/>
            <family val="2"/>
          </rPr>
          <t xml:space="preserve">
con ajuste</t>
        </r>
      </text>
    </comment>
    <comment ref="Q545" authorId="2" shapeId="0" xr:uid="{3C91F242-25C0-42A6-A26C-097444092DCD}">
      <text>
        <r>
          <rPr>
            <b/>
            <sz val="9"/>
            <color indexed="81"/>
            <rFont val="Tahoma"/>
            <family val="2"/>
          </rPr>
          <t>Marlen Vargas Benavides:</t>
        </r>
        <r>
          <rPr>
            <sz val="9"/>
            <color indexed="81"/>
            <rFont val="Tahoma"/>
            <family val="2"/>
          </rPr>
          <t xml:space="preserve">
con ajuste</t>
        </r>
      </text>
    </comment>
    <comment ref="R545" authorId="2" shapeId="0" xr:uid="{2E898FCD-41B1-423E-A7BA-48B53EF82510}">
      <text>
        <r>
          <rPr>
            <b/>
            <sz val="9"/>
            <color indexed="81"/>
            <rFont val="Tahoma"/>
            <family val="2"/>
          </rPr>
          <t>Marlen Vargas Benavides:</t>
        </r>
        <r>
          <rPr>
            <sz val="9"/>
            <color indexed="81"/>
            <rFont val="Tahoma"/>
            <family val="2"/>
          </rPr>
          <t xml:space="preserve">
con ajuste</t>
        </r>
      </text>
    </comment>
    <comment ref="S545" authorId="2" shapeId="0" xr:uid="{A476F886-7E04-4600-A248-56C62D1D357B}">
      <text>
        <r>
          <rPr>
            <b/>
            <sz val="9"/>
            <color indexed="81"/>
            <rFont val="Tahoma"/>
            <family val="2"/>
          </rPr>
          <t>Marlen Vargas Benavides:</t>
        </r>
        <r>
          <rPr>
            <sz val="9"/>
            <color indexed="81"/>
            <rFont val="Tahoma"/>
            <family val="2"/>
          </rPr>
          <t xml:space="preserve">
con ajuste</t>
        </r>
      </text>
    </comment>
    <comment ref="T545" authorId="2" shapeId="0" xr:uid="{8EFD0A00-75F4-4D09-8A25-2704BF205748}">
      <text>
        <r>
          <rPr>
            <b/>
            <sz val="9"/>
            <color indexed="81"/>
            <rFont val="Tahoma"/>
            <family val="2"/>
          </rPr>
          <t>Marlen Vargas Benavides:</t>
        </r>
        <r>
          <rPr>
            <sz val="9"/>
            <color indexed="81"/>
            <rFont val="Tahoma"/>
            <family val="2"/>
          </rPr>
          <t xml:space="preserve">
con ajuste</t>
        </r>
      </text>
    </comment>
    <comment ref="U545" authorId="2" shapeId="0" xr:uid="{00AC8326-3C5D-451D-97C0-28FE057733E8}">
      <text>
        <r>
          <rPr>
            <b/>
            <sz val="9"/>
            <color indexed="81"/>
            <rFont val="Tahoma"/>
            <family val="2"/>
          </rPr>
          <t>Marlen Vargas Benavides:</t>
        </r>
        <r>
          <rPr>
            <sz val="9"/>
            <color indexed="81"/>
            <rFont val="Tahoma"/>
            <family val="2"/>
          </rPr>
          <t xml:space="preserve">
con ajuste</t>
        </r>
      </text>
    </comment>
    <comment ref="V545" authorId="2" shapeId="0" xr:uid="{1453EBB1-9120-4E45-8ADD-3D73D9A8254F}">
      <text>
        <r>
          <rPr>
            <b/>
            <sz val="9"/>
            <color indexed="81"/>
            <rFont val="Tahoma"/>
            <family val="2"/>
          </rPr>
          <t>Marlen Vargas Benavides:</t>
        </r>
        <r>
          <rPr>
            <sz val="9"/>
            <color indexed="81"/>
            <rFont val="Tahoma"/>
            <family val="2"/>
          </rPr>
          <t xml:space="preserve">
con ajuste</t>
        </r>
      </text>
    </comment>
    <comment ref="B560" authorId="0" shapeId="0" xr:uid="{00000000-0006-0000-0000-000076020000}">
      <text>
        <r>
          <rPr>
            <b/>
            <sz val="9"/>
            <color indexed="81"/>
            <rFont val="Tahoma"/>
            <family val="2"/>
          </rPr>
          <t>mvargasb:</t>
        </r>
        <r>
          <rPr>
            <sz val="9"/>
            <color indexed="81"/>
            <rFont val="Tahoma"/>
            <family val="2"/>
          </rPr>
          <t xml:space="preserve">
Incluyeno penal + MP+  MP PJ + constitucional</t>
        </r>
      </text>
    </comment>
    <comment ref="B574" authorId="0" shapeId="0" xr:uid="{00000000-0006-0000-0000-000077020000}">
      <text>
        <r>
          <rPr>
            <b/>
            <sz val="9"/>
            <color indexed="81"/>
            <rFont val="Tahoma"/>
            <family val="2"/>
          </rPr>
          <t>mvargasb:</t>
        </r>
        <r>
          <rPr>
            <sz val="9"/>
            <color indexed="81"/>
            <rFont val="Tahoma"/>
            <family val="2"/>
          </rPr>
          <t xml:space="preserve">
3) Para la materia penal, los valores que indicas en tu cuadro a partir del año 2012 son los que aparecen en el cuadro 5 del bloque correspondiente al Ministerio Público en el Anuario Judicial del 2018 donde se incluye la entrada del Ministerio Público más la del Organismo de Investigación Judicial (aunque las cifras correspondientes para  los años 2017 y 2018 no coinciden con las que anotaste en el cuadro de entrada neta). 
No obstante, considero que no es correcto tomar las cantidades del cuadro citado al principio de este punto por cuanto la entrada neta hace referencia al sistema judicial y por lo tanto  resulta improcedente incluir en su total los delitos denunciados al OIJ pero que aún no han salido de esa sede. Si quisiéramos saber la cantidad de delitos denunciados en el país, entonces sí sería correcto tomar esas cifras, pero éste no es el caso de la entrada neta que solo se refiere al sistema judicial.
Además, debe tomarse en cuenta que las cifras de entrada neta penal para el periodo 2016-2018 son las cantidades que  informaste en el email que me remitiste el 25 de noviembre pasado
</t>
        </r>
      </text>
    </comment>
    <comment ref="B618" authorId="0" shapeId="0" xr:uid="{00000000-0006-0000-0000-000078020000}">
      <text>
        <r>
          <rPr>
            <b/>
            <sz val="9"/>
            <color indexed="81"/>
            <rFont val="Tahoma"/>
            <family val="2"/>
          </rPr>
          <t>mvargasb:</t>
        </r>
        <r>
          <rPr>
            <sz val="9"/>
            <color indexed="81"/>
            <rFont val="Tahoma"/>
            <family val="2"/>
          </rPr>
          <t xml:space="preserve">
incluye remitidos a otra jurisdicción, remitidos a la  UTR y remiidos a otra fiscalia 
</t>
        </r>
      </text>
    </comment>
    <comment ref="U638" authorId="3" shapeId="0" xr:uid="{00000000-0006-0000-0000-000079020000}">
      <text>
        <r>
          <rPr>
            <sz val="9"/>
            <color indexed="81"/>
            <rFont val="Tahoma"/>
            <family val="2"/>
          </rPr>
          <t>suma de inadmisibilidad y de incompetencia de procesos miembros supremos poderes</t>
        </r>
      </text>
    </comment>
    <comment ref="V638" authorId="3" shapeId="0" xr:uid="{00000000-0006-0000-0000-00007A020000}">
      <text>
        <r>
          <rPr>
            <sz val="9"/>
            <color indexed="81"/>
            <rFont val="Tahoma"/>
            <family val="2"/>
          </rPr>
          <t>suma de inadmisibilidad y de incompetencia de procesos miembros supremos poderes</t>
        </r>
      </text>
    </comment>
    <comment ref="V646" authorId="3" shapeId="0" xr:uid="{00000000-0006-0000-0000-00007B020000}">
      <text>
        <r>
          <rPr>
            <sz val="9"/>
            <color indexed="81"/>
            <rFont val="Tahoma"/>
            <family val="2"/>
          </rPr>
          <t>dictada + ejecución</t>
        </r>
      </text>
    </comment>
    <comment ref="M662" authorId="3" shapeId="0" xr:uid="{00000000-0006-0000-0000-00007C020000}">
      <text>
        <r>
          <rPr>
            <sz val="9"/>
            <color indexed="81"/>
            <rFont val="Tahoma"/>
            <family val="2"/>
          </rPr>
          <t>todos, flagrancia y ordinarios que tramitaron como apoyo</t>
        </r>
      </text>
    </comment>
    <comment ref="N662" authorId="3" shapeId="0" xr:uid="{00000000-0006-0000-0000-00007D020000}">
      <text>
        <r>
          <rPr>
            <sz val="9"/>
            <color indexed="81"/>
            <rFont val="Tahoma"/>
            <family val="2"/>
          </rPr>
          <t>todos, flagrancia y ordinarios que tramitaron como apoyo</t>
        </r>
      </text>
    </comment>
    <comment ref="O662" authorId="3" shapeId="0" xr:uid="{00000000-0006-0000-0000-00007E020000}">
      <text>
        <r>
          <rPr>
            <sz val="9"/>
            <color indexed="81"/>
            <rFont val="Tahoma"/>
            <family val="2"/>
          </rPr>
          <t>todos, flagrancia y ordinarios que tramitaron como apoyo</t>
        </r>
      </text>
    </comment>
    <comment ref="M663" authorId="3" shapeId="0" xr:uid="{00000000-0006-0000-0000-00007F020000}">
      <text>
        <r>
          <rPr>
            <sz val="9"/>
            <color indexed="81"/>
            <rFont val="Tahoma"/>
            <family val="2"/>
          </rPr>
          <t>todos, flagrancia y ordinarios que tramitaron como apoyo</t>
        </r>
      </text>
    </comment>
    <comment ref="N663" authorId="3" shapeId="0" xr:uid="{00000000-0006-0000-0000-000080020000}">
      <text>
        <r>
          <rPr>
            <sz val="9"/>
            <color indexed="81"/>
            <rFont val="Tahoma"/>
            <family val="2"/>
          </rPr>
          <t>todos, flagrancia y ordinarios que tramitaron como apoyo</t>
        </r>
      </text>
    </comment>
    <comment ref="O663" authorId="3" shapeId="0" xr:uid="{00000000-0006-0000-0000-000081020000}">
      <text>
        <r>
          <rPr>
            <sz val="9"/>
            <color indexed="81"/>
            <rFont val="Tahoma"/>
            <family val="2"/>
          </rPr>
          <t>todos, flagrancia y ordinarios que tramitaron como apoyo</t>
        </r>
      </text>
    </comment>
    <comment ref="V673" authorId="3" shapeId="0" xr:uid="{00000000-0006-0000-0000-000082020000}">
      <text>
        <r>
          <rPr>
            <sz val="9"/>
            <color indexed="81"/>
            <rFont val="Tahoma"/>
            <family val="2"/>
          </rPr>
          <t>justificacion del despacho:
El motivo de la disminución es que las partes no están pidiendo conciliar desconocemos el motivo sin embargo, según lo indicado por los datos, en los años anteriores, el mayor circulante de conciliación se daba gracias a los amparos de legalidad en los cuales se realizaban incluso audiencias masivas, sin embargo el circulante de amparos de legalidad ha disminuido en gran manera gracias al esfuerzo realizado por doña Ileana en conjunto con las personas juzgadoras a cargo del área; es por ello que, para las partes se hace más factible esperar una resolución que pedir una conciliación.</t>
        </r>
      </text>
    </comment>
    <comment ref="Q711" authorId="3" shapeId="0" xr:uid="{00000000-0006-0000-0000-000083020000}">
      <text>
        <r>
          <rPr>
            <b/>
            <sz val="9"/>
            <color indexed="81"/>
            <rFont val="Tahoma"/>
            <family val="2"/>
          </rPr>
          <t>Jesus:</t>
        </r>
        <r>
          <rPr>
            <sz val="9"/>
            <color indexed="81"/>
            <rFont val="Tahoma"/>
            <family val="2"/>
          </rPr>
          <t xml:space="preserve">
1 criterio de oportunidad</t>
        </r>
      </text>
    </comment>
    <comment ref="R728" authorId="3" shapeId="0" xr:uid="{00000000-0006-0000-0000-000084020000}">
      <text>
        <r>
          <rPr>
            <sz val="9"/>
            <color indexed="81"/>
            <rFont val="Tahoma"/>
            <family val="2"/>
          </rPr>
          <t>resol provisional rebeldía</t>
        </r>
      </text>
    </comment>
    <comment ref="S728" authorId="3" shapeId="0" xr:uid="{00000000-0006-0000-0000-000085020000}">
      <text>
        <r>
          <rPr>
            <sz val="9"/>
            <color indexed="81"/>
            <rFont val="Tahoma"/>
            <family val="2"/>
          </rPr>
          <t>rebeldia solicitada por la fiscalía</t>
        </r>
      </text>
    </comment>
    <comment ref="R743" authorId="3" shapeId="0" xr:uid="{00000000-0006-0000-0000-000086020000}">
      <text>
        <r>
          <rPr>
            <sz val="9"/>
            <color indexed="81"/>
            <rFont val="Tahoma"/>
            <family val="2"/>
          </rPr>
          <t>En los cuadros lo metieron como terminado, no como sobreseimiento</t>
        </r>
      </text>
    </comment>
    <comment ref="R749" authorId="3" shapeId="0" xr:uid="{00000000-0006-0000-0000-000087020000}">
      <text>
        <r>
          <rPr>
            <b/>
            <sz val="9"/>
            <color indexed="81"/>
            <rFont val="Tahoma"/>
            <family val="2"/>
          </rPr>
          <t>Jesus:</t>
        </r>
        <r>
          <rPr>
            <sz val="9"/>
            <color indexed="81"/>
            <rFont val="Tahoma"/>
            <family val="2"/>
          </rPr>
          <t xml:space="preserve">
no se dispone el desglose</t>
        </r>
      </text>
    </comment>
    <comment ref="R750" authorId="3" shapeId="0" xr:uid="{00000000-0006-0000-0000-000088020000}">
      <text>
        <r>
          <rPr>
            <b/>
            <sz val="9"/>
            <color indexed="81"/>
            <rFont val="Tahoma"/>
            <family val="2"/>
          </rPr>
          <t>Jesus:</t>
        </r>
        <r>
          <rPr>
            <sz val="9"/>
            <color indexed="81"/>
            <rFont val="Tahoma"/>
            <family val="2"/>
          </rPr>
          <t xml:space="preserve">
no se dispone el desglose</t>
        </r>
      </text>
    </comment>
    <comment ref="R751" authorId="3" shapeId="0" xr:uid="{00000000-0006-0000-0000-000089020000}">
      <text>
        <r>
          <rPr>
            <b/>
            <sz val="9"/>
            <color indexed="81"/>
            <rFont val="Tahoma"/>
            <family val="2"/>
          </rPr>
          <t>Jesus:</t>
        </r>
        <r>
          <rPr>
            <sz val="9"/>
            <color indexed="81"/>
            <rFont val="Tahoma"/>
            <family val="2"/>
          </rPr>
          <t xml:space="preserve">
no se dispone el desglose</t>
        </r>
      </text>
    </comment>
    <comment ref="R752" authorId="3" shapeId="0" xr:uid="{00000000-0006-0000-0000-00008A020000}">
      <text>
        <r>
          <rPr>
            <b/>
            <sz val="9"/>
            <color indexed="81"/>
            <rFont val="Tahoma"/>
            <family val="2"/>
          </rPr>
          <t>Jesus:</t>
        </r>
        <r>
          <rPr>
            <sz val="9"/>
            <color indexed="81"/>
            <rFont val="Tahoma"/>
            <family val="2"/>
          </rPr>
          <t xml:space="preserve">
no se dispone el desglose</t>
        </r>
      </text>
    </comment>
    <comment ref="R753" authorId="3" shapeId="0" xr:uid="{00000000-0006-0000-0000-00008B020000}">
      <text>
        <r>
          <rPr>
            <b/>
            <sz val="9"/>
            <color indexed="81"/>
            <rFont val="Tahoma"/>
            <family val="2"/>
          </rPr>
          <t>Jesus:</t>
        </r>
        <r>
          <rPr>
            <sz val="9"/>
            <color indexed="81"/>
            <rFont val="Tahoma"/>
            <family val="2"/>
          </rPr>
          <t xml:space="preserve">
no se dispone el desglose</t>
        </r>
      </text>
    </comment>
    <comment ref="N767" authorId="0" shapeId="0" xr:uid="{00000000-0006-0000-0000-00008C020000}">
      <text>
        <r>
          <rPr>
            <b/>
            <sz val="9"/>
            <color indexed="81"/>
            <rFont val="Tahoma"/>
            <family val="2"/>
          </rPr>
          <t>mvargasb:</t>
        </r>
        <r>
          <rPr>
            <sz val="9"/>
            <color indexed="81"/>
            <rFont val="Tahoma"/>
            <family val="2"/>
          </rPr>
          <t xml:space="preserve">
28 terminados por conciliación, se incluye aquí porque el MP no concilia</t>
        </r>
      </text>
    </comment>
    <comment ref="O767" authorId="0" shapeId="0" xr:uid="{00000000-0006-0000-0000-00008D020000}">
      <text>
        <r>
          <rPr>
            <b/>
            <sz val="9"/>
            <color indexed="81"/>
            <rFont val="Tahoma"/>
            <family val="2"/>
          </rPr>
          <t>mvargasb:</t>
        </r>
        <r>
          <rPr>
            <sz val="9"/>
            <color indexed="81"/>
            <rFont val="Tahoma"/>
            <family val="2"/>
          </rPr>
          <t xml:space="preserve">
95 terminados por conciliación, se incluye aquí porque el MP no concilia</t>
        </r>
      </text>
    </comment>
    <comment ref="P767" authorId="0" shapeId="0" xr:uid="{00000000-0006-0000-0000-00008E020000}">
      <text>
        <r>
          <rPr>
            <b/>
            <sz val="9"/>
            <color indexed="81"/>
            <rFont val="Tahoma"/>
            <family val="2"/>
          </rPr>
          <t>mvargasb:</t>
        </r>
        <r>
          <rPr>
            <sz val="9"/>
            <color indexed="81"/>
            <rFont val="Tahoma"/>
            <family val="2"/>
          </rPr>
          <t xml:space="preserve">
8 terminados por conciliación, se incluye aquí porque el MP no concilia</t>
        </r>
      </text>
    </comment>
    <comment ref="Q767" authorId="0" shapeId="0" xr:uid="{00000000-0006-0000-0000-00008F020000}">
      <text>
        <r>
          <rPr>
            <b/>
            <sz val="9"/>
            <color indexed="81"/>
            <rFont val="Tahoma"/>
            <family val="2"/>
          </rPr>
          <t>mvargasb:</t>
        </r>
        <r>
          <rPr>
            <sz val="9"/>
            <color indexed="81"/>
            <rFont val="Tahoma"/>
            <family val="2"/>
          </rPr>
          <t xml:space="preserve">
25 terminados por conciliación, se incluye aquí porque el MP no concilia</t>
        </r>
      </text>
    </comment>
    <comment ref="R767" authorId="0" shapeId="0" xr:uid="{00000000-0006-0000-0000-000090020000}">
      <text>
        <r>
          <rPr>
            <b/>
            <sz val="9"/>
            <color indexed="81"/>
            <rFont val="Tahoma"/>
            <family val="2"/>
          </rPr>
          <t>mvargasb:</t>
        </r>
        <r>
          <rPr>
            <sz val="9"/>
            <color indexed="81"/>
            <rFont val="Tahoma"/>
            <family val="2"/>
          </rPr>
          <t xml:space="preserve">
37
 terminados por conciliación, se incluye aquí porque el MP no concilia</t>
        </r>
      </text>
    </comment>
    <comment ref="S767" authorId="0" shapeId="0" xr:uid="{00000000-0006-0000-0000-000091020000}">
      <text>
        <r>
          <rPr>
            <b/>
            <sz val="9"/>
            <color indexed="81"/>
            <rFont val="Tahoma"/>
            <family val="2"/>
          </rPr>
          <t>mvargasb:</t>
        </r>
        <r>
          <rPr>
            <sz val="9"/>
            <color indexed="81"/>
            <rFont val="Tahoma"/>
            <family val="2"/>
          </rPr>
          <t xml:space="preserve">
30 terminados por conciliación, se incluye aquí porque el MP no concilia</t>
        </r>
      </text>
    </comment>
    <comment ref="T767" authorId="0" shapeId="0" xr:uid="{00000000-0006-0000-0000-000092020000}">
      <text>
        <r>
          <rPr>
            <b/>
            <sz val="9"/>
            <color indexed="81"/>
            <rFont val="Tahoma"/>
            <family val="2"/>
          </rPr>
          <t>5</t>
        </r>
        <r>
          <rPr>
            <sz val="9"/>
            <color indexed="81"/>
            <rFont val="Tahoma"/>
            <family val="2"/>
          </rPr>
          <t xml:space="preserve"> terminados por conciliación, se incluye aquí porque el MP no concilia</t>
        </r>
      </text>
    </comment>
    <comment ref="Q797" authorId="3" shapeId="0" xr:uid="{00000000-0006-0000-0000-000093020000}">
      <text>
        <r>
          <rPr>
            <sz val="9"/>
            <color indexed="81"/>
            <rFont val="Tahoma"/>
            <family val="2"/>
          </rPr>
          <t xml:space="preserve">
ajuste porque no se hacia el cuadro de terminados</t>
        </r>
      </text>
    </comment>
    <comment ref="Q804" authorId="3" shapeId="0" xr:uid="{00000000-0006-0000-0000-000094020000}">
      <text>
        <r>
          <rPr>
            <b/>
            <sz val="9"/>
            <color indexed="81"/>
            <rFont val="Tahoma"/>
            <family val="2"/>
          </rPr>
          <t>Jesus:</t>
        </r>
        <r>
          <rPr>
            <sz val="9"/>
            <color indexed="81"/>
            <rFont val="Tahoma"/>
            <family val="2"/>
          </rPr>
          <t xml:space="preserve">
ajuste porque no se hacia el cuadro de terminados</t>
        </r>
      </text>
    </comment>
    <comment ref="R804" authorId="3" shapeId="0" xr:uid="{00000000-0006-0000-0000-000095020000}">
      <text>
        <r>
          <rPr>
            <b/>
            <sz val="9"/>
            <color indexed="81"/>
            <rFont val="Tahoma"/>
            <family val="2"/>
          </rPr>
          <t>Jesus:</t>
        </r>
        <r>
          <rPr>
            <sz val="9"/>
            <color indexed="81"/>
            <rFont val="Tahoma"/>
            <family val="2"/>
          </rPr>
          <t xml:space="preserve">
de aqui hacia atras lo que se tienen son las resoluciones dictadas no los terminados. Se cierra este a;o para completar la serie de 5 años por diferencia
</t>
        </r>
      </text>
    </comment>
    <comment ref="R863" authorId="3" shapeId="0" xr:uid="{00000000-0006-0000-0000-000096020000}">
      <text>
        <r>
          <rPr>
            <b/>
            <sz val="9"/>
            <color indexed="81"/>
            <rFont val="Tahoma"/>
            <family val="2"/>
          </rPr>
          <t>Jesus:</t>
        </r>
        <r>
          <rPr>
            <sz val="9"/>
            <color indexed="81"/>
            <rFont val="Tahoma"/>
            <family val="2"/>
          </rPr>
          <t xml:space="preserve">
como desistimiento, antes de la RPC</t>
        </r>
      </text>
    </comment>
    <comment ref="R868" authorId="3" shapeId="0" xr:uid="{00000000-0006-0000-0000-000097020000}">
      <text>
        <r>
          <rPr>
            <b/>
            <sz val="9"/>
            <color indexed="81"/>
            <rFont val="Tahoma"/>
            <family val="2"/>
          </rPr>
          <t>Jesus:</t>
        </r>
        <r>
          <rPr>
            <sz val="9"/>
            <color indexed="81"/>
            <rFont val="Tahoma"/>
            <family val="2"/>
          </rPr>
          <t xml:space="preserve">
como arreglo extrajudicial antes de la RPC
</t>
        </r>
      </text>
    </comment>
    <comment ref="R1013" authorId="3" shapeId="0" xr:uid="{00000000-0006-0000-0000-000098020000}">
      <text>
        <r>
          <rPr>
            <b/>
            <sz val="9"/>
            <color indexed="81"/>
            <rFont val="Tahoma"/>
            <family val="2"/>
          </rPr>
          <t>Jesus:</t>
        </r>
        <r>
          <rPr>
            <sz val="9"/>
            <color indexed="81"/>
            <rFont val="Tahoma"/>
            <family val="2"/>
          </rPr>
          <t xml:space="preserve">
revisar si es prescripcion</t>
        </r>
      </text>
    </comment>
    <comment ref="Q1057" authorId="3" shapeId="0" xr:uid="{00000000-0006-0000-0000-000099020000}">
      <text>
        <r>
          <rPr>
            <sz val="9"/>
            <color indexed="81"/>
            <rFont val="Tahoma"/>
            <family val="2"/>
          </rPr>
          <t>ajuste</t>
        </r>
      </text>
    </comment>
    <comment ref="Q1059" authorId="3" shapeId="0" xr:uid="{00000000-0006-0000-0000-00009A020000}">
      <text>
        <r>
          <rPr>
            <sz val="9"/>
            <color indexed="81"/>
            <rFont val="Tahoma"/>
            <family val="2"/>
          </rPr>
          <t>ajuste</t>
        </r>
      </text>
    </comment>
    <comment ref="T1083" authorId="3" shapeId="0" xr:uid="{00000000-0006-0000-0000-00009B020000}">
      <text>
        <r>
          <rPr>
            <b/>
            <sz val="9"/>
            <color indexed="81"/>
            <rFont val="Tahoma"/>
            <family val="2"/>
          </rPr>
          <t>Jesus:</t>
        </r>
        <r>
          <rPr>
            <sz val="9"/>
            <color indexed="81"/>
            <rFont val="Tahoma"/>
            <family val="2"/>
          </rPr>
          <t xml:space="preserve">
son las terminadas. No hay resoluciones dictadas</t>
        </r>
      </text>
    </comment>
    <comment ref="V1083" authorId="3" shapeId="0" xr:uid="{00000000-0006-0000-0000-00009C020000}">
      <text>
        <r>
          <rPr>
            <sz val="9"/>
            <color indexed="81"/>
            <rFont val="Tahoma"/>
            <family val="2"/>
          </rPr>
          <t>son resoluciones dictadas: 9 sent en incidente, 66 sent en ejec y 2030 sent en PRI</t>
        </r>
      </text>
    </comment>
    <comment ref="V1088" authorId="3" shapeId="0" xr:uid="{00000000-0006-0000-0000-00009D020000}">
      <text>
        <r>
          <rPr>
            <sz val="9"/>
            <color indexed="81"/>
            <rFont val="Tahoma"/>
            <family val="2"/>
          </rPr>
          <t xml:space="preserve">todas
autosentencias 1948
sent 50006
adiciones y aclaracion 1
</t>
        </r>
      </text>
    </comment>
    <comment ref="V1090" authorId="3" shapeId="0" xr:uid="{00000000-0006-0000-0000-00009E020000}">
      <text>
        <r>
          <rPr>
            <sz val="9"/>
            <color indexed="81"/>
            <rFont val="Tahoma"/>
            <family val="2"/>
          </rPr>
          <t xml:space="preserve">no se tienen el total de sentencias dictadas
</t>
        </r>
      </text>
    </comment>
    <comment ref="B1093" authorId="3" shapeId="0" xr:uid="{00000000-0006-0000-0000-00009F020000}">
      <text>
        <r>
          <rPr>
            <b/>
            <sz val="9"/>
            <color indexed="81"/>
            <rFont val="Tahoma"/>
            <family val="2"/>
          </rPr>
          <t>Jesus:</t>
        </r>
        <r>
          <rPr>
            <sz val="9"/>
            <color indexed="81"/>
            <rFont val="Tahoma"/>
            <family val="2"/>
          </rPr>
          <t xml:space="preserve">
CL / CL parcial / SL / Sl parcial</t>
        </r>
      </text>
    </comment>
    <comment ref="U1098" authorId="3" shapeId="0" xr:uid="{00000000-0006-0000-0000-0000A0020000}">
      <text>
        <r>
          <rPr>
            <sz val="9"/>
            <color indexed="81"/>
            <rFont val="Tahoma"/>
            <family val="2"/>
          </rPr>
          <t>confirma, revoca, anula, modifica, CL y SL</t>
        </r>
      </text>
    </comment>
    <comment ref="V1098" authorId="3" shapeId="0" xr:uid="{00000000-0006-0000-0000-0000A1020000}">
      <text>
        <r>
          <rPr>
            <sz val="9"/>
            <color indexed="81"/>
            <rFont val="Tahoma"/>
            <family val="2"/>
          </rPr>
          <t xml:space="preserve">confirma, revoca, anula, modifica,
</t>
        </r>
      </text>
    </comment>
    <comment ref="V1104" authorId="3" shapeId="0" xr:uid="{00000000-0006-0000-0000-0000A2020000}">
      <text>
        <r>
          <rPr>
            <sz val="9"/>
            <color indexed="81"/>
            <rFont val="Tahoma"/>
            <family val="2"/>
          </rPr>
          <t>coincide con las terminadas, no hay resoluciones dictadas</t>
        </r>
      </text>
    </comment>
    <comment ref="B1109" authorId="3" shapeId="0" xr:uid="{00000000-0006-0000-0000-0000A3020000}">
      <text>
        <r>
          <rPr>
            <sz val="9"/>
            <color indexed="81"/>
            <rFont val="Tahoma"/>
            <family val="2"/>
          </rPr>
          <t>de fondo</t>
        </r>
      </text>
    </comment>
    <comment ref="B1139" authorId="3" shapeId="0" xr:uid="{00000000-0006-0000-0000-0000A4020000}">
      <text>
        <r>
          <rPr>
            <sz val="9"/>
            <color indexed="81"/>
            <rFont val="Tahoma"/>
            <family val="2"/>
          </rPr>
          <t>revocatoria y revocatoria parcial</t>
        </r>
      </text>
    </comment>
    <comment ref="L1140" authorId="0" shapeId="0" xr:uid="{00000000-0006-0000-0000-0000A6020000}">
      <text>
        <r>
          <rPr>
            <b/>
            <sz val="9"/>
            <color indexed="81"/>
            <rFont val="Tahoma"/>
            <family val="2"/>
          </rPr>
          <t>mvargasb:</t>
        </r>
        <r>
          <rPr>
            <sz val="9"/>
            <color indexed="81"/>
            <rFont val="Tahoma"/>
            <family val="2"/>
          </rPr>
          <t xml:space="preserve">
tiene un ajuste de 38 casos en frlitos contra el honor, sumados a otros delitos
</t>
        </r>
      </text>
    </comment>
    <comment ref="M1140" authorId="0" shapeId="0" xr:uid="{00000000-0006-0000-0000-0000A7020000}">
      <text>
        <r>
          <rPr>
            <b/>
            <sz val="9"/>
            <color indexed="81"/>
            <rFont val="Tahoma"/>
            <family val="2"/>
          </rPr>
          <t>mvargasb:</t>
        </r>
        <r>
          <rPr>
            <sz val="9"/>
            <color indexed="81"/>
            <rFont val="Tahoma"/>
            <family val="2"/>
          </rPr>
          <t xml:space="preserve">
tiene un ajuste de 51 casos en frlitos contra el honor, sumados a otros delitos
</t>
        </r>
      </text>
    </comment>
    <comment ref="N1140" authorId="0" shapeId="0" xr:uid="{00000000-0006-0000-0000-0000A8020000}">
      <text>
        <r>
          <rPr>
            <b/>
            <sz val="9"/>
            <color indexed="81"/>
            <rFont val="Tahoma"/>
            <family val="2"/>
          </rPr>
          <t>mvargasb:</t>
        </r>
        <r>
          <rPr>
            <sz val="9"/>
            <color indexed="81"/>
            <rFont val="Tahoma"/>
            <family val="2"/>
          </rPr>
          <t xml:space="preserve">
tiene un ajuste de 52 casos en frlitos contra el honor, sumados a otros delitos
</t>
        </r>
      </text>
    </comment>
    <comment ref="O1140" authorId="0" shapeId="0" xr:uid="{00000000-0006-0000-0000-0000A9020000}">
      <text>
        <r>
          <rPr>
            <b/>
            <sz val="9"/>
            <color indexed="81"/>
            <rFont val="Tahoma"/>
            <family val="2"/>
          </rPr>
          <t>mvargasb:</t>
        </r>
        <r>
          <rPr>
            <sz val="9"/>
            <color indexed="81"/>
            <rFont val="Tahoma"/>
            <family val="2"/>
          </rPr>
          <t xml:space="preserve">
tiene un ajuste de 40
 casos en frlitos contra el honor, sumados a otros delitos
</t>
        </r>
      </text>
    </comment>
    <comment ref="P1140" authorId="0" shapeId="0" xr:uid="{00000000-0006-0000-0000-0000AA020000}">
      <text>
        <r>
          <rPr>
            <b/>
            <sz val="9"/>
            <color indexed="81"/>
            <rFont val="Tahoma"/>
            <family val="2"/>
          </rPr>
          <t>mvargasb:</t>
        </r>
        <r>
          <rPr>
            <sz val="9"/>
            <color indexed="81"/>
            <rFont val="Tahoma"/>
            <family val="2"/>
          </rPr>
          <t xml:space="preserve">
tiene un ajuste de 51 casos en frlitos contra el honor, sumados a otros delitos
</t>
        </r>
      </text>
    </comment>
    <comment ref="Q1140" authorId="0" shapeId="0" xr:uid="{00000000-0006-0000-0000-0000AB020000}">
      <text>
        <r>
          <rPr>
            <b/>
            <sz val="9"/>
            <color indexed="81"/>
            <rFont val="Tahoma"/>
            <family val="2"/>
          </rPr>
          <t>mvargasb:</t>
        </r>
        <r>
          <rPr>
            <sz val="9"/>
            <color indexed="81"/>
            <rFont val="Tahoma"/>
            <family val="2"/>
          </rPr>
          <t xml:space="preserve">
tiene un ajuste de 35 casos en frlitos contra el honor, sumados a otros delitos
</t>
        </r>
      </text>
    </comment>
    <comment ref="D1443" authorId="2" shapeId="0" xr:uid="{00000000-0006-0000-0000-0000AC020000}">
      <text>
        <r>
          <rPr>
            <b/>
            <sz val="9"/>
            <color indexed="81"/>
            <rFont val="Tahoma"/>
            <family val="2"/>
          </rPr>
          <t>Marlen Vargas Benavides:</t>
        </r>
        <r>
          <rPr>
            <sz val="9"/>
            <color indexed="81"/>
            <rFont val="Tahoma"/>
            <family val="2"/>
          </rPr>
          <t xml:space="preserve">
decía alteración de documentos</t>
        </r>
      </text>
    </comment>
    <comment ref="B2497" authorId="3" shapeId="0" xr:uid="{00000000-0006-0000-0000-0000AD020000}">
      <text>
        <r>
          <rPr>
            <sz val="9"/>
            <color indexed="81"/>
            <rFont val="Tahoma"/>
            <family val="2"/>
          </rPr>
          <t xml:space="preserve">fuente&gt; ministerio de Justicia y Paz
</t>
        </r>
      </text>
    </comment>
    <comment ref="V2662" authorId="2" shapeId="0" xr:uid="{00000000-0006-0000-0000-0000AE020000}">
      <text>
        <r>
          <rPr>
            <sz val="9"/>
            <color indexed="81"/>
            <rFont val="Tahoma"/>
            <family val="2"/>
          </rPr>
          <t>sent 13,2, sin lugar 6,2 y con lugar 12,3</t>
        </r>
      </text>
    </comment>
    <comment ref="U2717" authorId="0" shapeId="0" xr:uid="{00000000-0006-0000-0000-0000AF020000}">
      <text>
        <r>
          <rPr>
            <b/>
            <sz val="9"/>
            <color indexed="81"/>
            <rFont val="Tahoma"/>
            <family val="2"/>
          </rPr>
          <t>mvargasb:</t>
        </r>
        <r>
          <rPr>
            <sz val="9"/>
            <color indexed="81"/>
            <rFont val="Tahoma"/>
            <family val="2"/>
          </rPr>
          <t xml:space="preserve">
el cuadro dice 5,3 y la base dice 5.0</t>
        </r>
      </text>
    </comment>
    <comment ref="V2717" authorId="3" shapeId="0" xr:uid="{00000000-0006-0000-0000-0000B0020000}">
      <text>
        <r>
          <rPr>
            <sz val="9"/>
            <color indexed="81"/>
            <rFont val="Tahoma"/>
            <family val="2"/>
          </rPr>
          <t>sent con juicio oral 7.3 y sent sin juicio oral 4.0</t>
        </r>
      </text>
    </comment>
    <comment ref="R2764" authorId="3" shapeId="0" xr:uid="{00000000-0006-0000-0000-0000B1020000}">
      <text>
        <r>
          <rPr>
            <sz val="9"/>
            <color indexed="81"/>
            <rFont val="Tahoma"/>
            <family val="2"/>
          </rPr>
          <t>este total no incluye cumplimiento de la sanción</t>
        </r>
      </text>
    </comment>
    <comment ref="S2764" authorId="3" shapeId="0" xr:uid="{00000000-0006-0000-0000-0000B2020000}">
      <text>
        <r>
          <rPr>
            <sz val="9"/>
            <color indexed="81"/>
            <rFont val="Tahoma"/>
            <family val="2"/>
          </rPr>
          <t>este total no incluye cumplimiento de la sanción</t>
        </r>
      </text>
    </comment>
    <comment ref="T2764" authorId="3" shapeId="0" xr:uid="{00000000-0006-0000-0000-0000B3020000}">
      <text>
        <r>
          <rPr>
            <sz val="9"/>
            <color indexed="81"/>
            <rFont val="Tahoma"/>
            <family val="2"/>
          </rPr>
          <t>este total no incluye cumplimiento de la sanción</t>
        </r>
      </text>
    </comment>
    <comment ref="V2864" authorId="3" shapeId="0" xr:uid="{00000000-0006-0000-0000-0000B4020000}">
      <text>
        <r>
          <rPr>
            <sz val="9"/>
            <color indexed="81"/>
            <rFont val="Tahoma"/>
            <family val="2"/>
          </rPr>
          <t>solo los de fondo</t>
        </r>
      </text>
    </comment>
    <comment ref="V2865" authorId="3" shapeId="0" xr:uid="{00000000-0006-0000-0000-0000B5020000}">
      <text>
        <r>
          <rPr>
            <sz val="9"/>
            <color indexed="81"/>
            <rFont val="Tahoma"/>
            <family val="2"/>
          </rPr>
          <t>calculada con todos los datos</t>
        </r>
      </text>
    </comment>
    <comment ref="V2866" authorId="3" shapeId="0" xr:uid="{00000000-0006-0000-0000-0000B6020000}">
      <text>
        <r>
          <rPr>
            <sz val="9"/>
            <color indexed="81"/>
            <rFont val="Tahoma"/>
            <family val="2"/>
          </rPr>
          <t>calculada con todos los datos</t>
        </r>
      </text>
    </comment>
    <comment ref="V2867" authorId="3" shapeId="0" xr:uid="{00000000-0006-0000-0000-0000B7020000}">
      <text>
        <r>
          <rPr>
            <sz val="9"/>
            <color indexed="81"/>
            <rFont val="Tahoma"/>
            <family val="2"/>
          </rPr>
          <t>calculada con todos los datos</t>
        </r>
      </text>
    </comment>
    <comment ref="B2869" authorId="0" shapeId="0" xr:uid="{00000000-0006-0000-0000-0000B8020000}">
      <text>
        <r>
          <rPr>
            <b/>
            <sz val="9"/>
            <color indexed="81"/>
            <rFont val="Tahoma"/>
            <family val="2"/>
          </rPr>
          <t>mvargasb:</t>
        </r>
        <r>
          <rPr>
            <sz val="9"/>
            <color indexed="81"/>
            <rFont val="Tahoma"/>
            <family val="2"/>
          </rPr>
          <t xml:space="preserve">
votos de fondo
</t>
        </r>
      </text>
    </comment>
    <comment ref="B2871" authorId="0" shapeId="0" xr:uid="{00000000-0006-0000-0000-0000B9020000}">
      <text>
        <r>
          <rPr>
            <b/>
            <sz val="9"/>
            <color indexed="81"/>
            <rFont val="Tahoma"/>
            <family val="2"/>
          </rPr>
          <t>mvargasb:</t>
        </r>
        <r>
          <rPr>
            <sz val="9"/>
            <color indexed="81"/>
            <rFont val="Tahoma"/>
            <family val="2"/>
          </rPr>
          <t xml:space="preserve">
votos de fondo</t>
        </r>
      </text>
    </comment>
    <comment ref="V2871" authorId="3" shapeId="0" xr:uid="{00000000-0006-0000-0000-0000BA020000}">
      <text>
        <r>
          <rPr>
            <b/>
            <sz val="9"/>
            <color indexed="81"/>
            <rFont val="Tahoma"/>
            <family val="2"/>
          </rPr>
          <t>Jesus:</t>
        </r>
        <r>
          <rPr>
            <sz val="9"/>
            <color indexed="81"/>
            <rFont val="Tahoma"/>
            <family val="2"/>
          </rPr>
          <t xml:space="preserve">
sin valores extremos</t>
        </r>
      </text>
    </comment>
    <comment ref="U2872" authorId="3" shapeId="0" xr:uid="{00000000-0006-0000-0000-0000BB020000}">
      <text>
        <r>
          <rPr>
            <sz val="9"/>
            <color indexed="81"/>
            <rFont val="Tahoma"/>
            <family val="2"/>
          </rPr>
          <t>con todos los valores</t>
        </r>
      </text>
    </comment>
    <comment ref="V2872" authorId="3" shapeId="0" xr:uid="{00000000-0006-0000-0000-0000BC020000}">
      <text>
        <r>
          <rPr>
            <sz val="9"/>
            <color indexed="81"/>
            <rFont val="Tahoma"/>
            <family val="2"/>
          </rPr>
          <t>con todos los valores</t>
        </r>
      </text>
    </comment>
    <comment ref="U2873" authorId="3" shapeId="0" xr:uid="{00000000-0006-0000-0000-0000BD020000}">
      <text>
        <r>
          <rPr>
            <sz val="9"/>
            <color indexed="81"/>
            <rFont val="Tahoma"/>
            <family val="2"/>
          </rPr>
          <t>con todos los valores</t>
        </r>
      </text>
    </comment>
    <comment ref="V2873" authorId="3" shapeId="0" xr:uid="{00000000-0006-0000-0000-0000BE020000}">
      <text>
        <r>
          <rPr>
            <sz val="9"/>
            <color indexed="81"/>
            <rFont val="Tahoma"/>
            <family val="2"/>
          </rPr>
          <t>con todos los valores</t>
        </r>
      </text>
    </comment>
    <comment ref="U2874" authorId="3" shapeId="0" xr:uid="{00000000-0006-0000-0000-0000BF020000}">
      <text>
        <r>
          <rPr>
            <sz val="9"/>
            <color indexed="81"/>
            <rFont val="Tahoma"/>
            <family val="2"/>
          </rPr>
          <t>con todos los valores</t>
        </r>
      </text>
    </comment>
    <comment ref="V2874" authorId="3" shapeId="0" xr:uid="{00000000-0006-0000-0000-0000C0020000}">
      <text>
        <r>
          <rPr>
            <sz val="9"/>
            <color indexed="81"/>
            <rFont val="Tahoma"/>
            <family val="2"/>
          </rPr>
          <t>con todos los valores</t>
        </r>
      </text>
    </comment>
    <comment ref="B2875" authorId="0" shapeId="0" xr:uid="{00000000-0006-0000-0000-0000C1020000}">
      <text>
        <r>
          <rPr>
            <b/>
            <sz val="9"/>
            <color indexed="81"/>
            <rFont val="Tahoma"/>
            <family val="2"/>
          </rPr>
          <t>mvargasb:</t>
        </r>
        <r>
          <rPr>
            <sz val="9"/>
            <color indexed="81"/>
            <rFont val="Tahoma"/>
            <family val="2"/>
          </rPr>
          <t xml:space="preserve">
de fondo + otras resoluciones</t>
        </r>
      </text>
    </comment>
    <comment ref="U2875" authorId="3" shapeId="0" xr:uid="{00000000-0006-0000-0000-0000C2020000}">
      <text>
        <r>
          <rPr>
            <sz val="9"/>
            <color indexed="81"/>
            <rFont val="Tahoma"/>
            <family val="2"/>
          </rPr>
          <t>con todos los valores</t>
        </r>
      </text>
    </comment>
    <comment ref="V2875" authorId="3" shapeId="0" xr:uid="{00000000-0006-0000-0000-0000C3020000}">
      <text>
        <r>
          <rPr>
            <sz val="9"/>
            <color indexed="81"/>
            <rFont val="Tahoma"/>
            <family val="2"/>
          </rPr>
          <t>con todos los valores</t>
        </r>
      </text>
    </comment>
    <comment ref="B2876" authorId="0" shapeId="0" xr:uid="{00000000-0006-0000-0000-0000C4020000}">
      <text>
        <r>
          <rPr>
            <b/>
            <sz val="9"/>
            <color indexed="81"/>
            <rFont val="Tahoma"/>
            <family val="2"/>
          </rPr>
          <t>mvargasb:</t>
        </r>
        <r>
          <rPr>
            <sz val="9"/>
            <color indexed="81"/>
            <rFont val="Tahoma"/>
            <family val="2"/>
          </rPr>
          <t xml:space="preserve">
de fondo + otras resoluciones</t>
        </r>
      </text>
    </comment>
    <comment ref="U2876" authorId="3" shapeId="0" xr:uid="{00000000-0006-0000-0000-0000C5020000}">
      <text>
        <r>
          <rPr>
            <sz val="9"/>
            <color indexed="81"/>
            <rFont val="Tahoma"/>
            <family val="2"/>
          </rPr>
          <t>con todos los valores</t>
        </r>
      </text>
    </comment>
    <comment ref="V2876" authorId="3" shapeId="0" xr:uid="{00000000-0006-0000-0000-0000C6020000}">
      <text>
        <r>
          <rPr>
            <sz val="9"/>
            <color indexed="81"/>
            <rFont val="Tahoma"/>
            <family val="2"/>
          </rPr>
          <t>con todos los valores</t>
        </r>
      </text>
    </comment>
    <comment ref="V2878" authorId="2" shapeId="0" xr:uid="{00000000-0006-0000-0000-0000C7020000}">
      <text>
        <r>
          <rPr>
            <sz val="9"/>
            <color indexed="81"/>
            <rFont val="Tahoma"/>
            <family val="2"/>
          </rPr>
          <t>de los recursos de apelacion votados por el fondo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mvargasb</author>
    <author>Marlen Vargas Benavides</author>
    <author>Jesus</author>
    <author>Marlen</author>
  </authors>
  <commentList>
    <comment ref="B2" authorId="0" shapeId="0" xr:uid="{00000000-0006-0000-0100-000001000000}">
      <text>
        <r>
          <rPr>
            <b/>
            <sz val="9"/>
            <color indexed="81"/>
            <rFont val="Tahoma"/>
            <family val="2"/>
          </rPr>
          <t>mvargasb:</t>
        </r>
        <r>
          <rPr>
            <sz val="9"/>
            <color indexed="81"/>
            <rFont val="Tahoma"/>
            <family val="2"/>
          </rPr>
          <t xml:space="preserve">
es el que refleja los movimientos que se PRESENTARON en el transcurso del año al presupuesto aprobado por LEY, </t>
        </r>
      </text>
    </comment>
    <comment ref="B4" authorId="0" shapeId="0" xr:uid="{00000000-0006-0000-0100-000002000000}">
      <text>
        <r>
          <rPr>
            <b/>
            <sz val="9"/>
            <color indexed="81"/>
            <rFont val="Tahoma"/>
            <family val="2"/>
          </rPr>
          <t>mvargasb:</t>
        </r>
        <r>
          <rPr>
            <sz val="9"/>
            <color indexed="81"/>
            <rFont val="Tahoma"/>
            <family val="2"/>
          </rPr>
          <t xml:space="preserve">
es el gasto ejecutado
</t>
        </r>
      </text>
    </comment>
    <comment ref="Q21" authorId="1" shapeId="0" xr:uid="{E1D1AF54-2976-45B7-BB97-AE4C0A273896}">
      <text>
        <r>
          <rPr>
            <b/>
            <sz val="9"/>
            <color indexed="81"/>
            <rFont val="Tahoma"/>
            <family val="2"/>
          </rPr>
          <t>Marlen Vargas Benavides:</t>
        </r>
        <r>
          <rPr>
            <sz val="9"/>
            <color indexed="81"/>
            <rFont val="Tahoma"/>
            <family val="2"/>
          </rPr>
          <t xml:space="preserve">
termina la serie
</t>
        </r>
      </text>
    </comment>
    <comment ref="B35" authorId="1" shapeId="0" xr:uid="{FAFC9837-1651-4D89-AD4B-DEA292E421BD}">
      <text>
        <r>
          <rPr>
            <b/>
            <sz val="9"/>
            <color indexed="81"/>
            <rFont val="Tahoma"/>
            <family val="2"/>
          </rPr>
          <t>Marlen Vargas Benavides:</t>
        </r>
        <r>
          <rPr>
            <sz val="9"/>
            <color indexed="81"/>
            <rFont val="Tahoma"/>
            <family val="2"/>
          </rPr>
          <t xml:space="preserve">
lo que está activo, o sea que se está atendiendo en la oficina
</t>
        </r>
      </text>
    </comment>
    <comment ref="B41" authorId="1" shapeId="0" xr:uid="{887AB832-7CDB-416F-9C0C-1C99E4A608D9}">
      <text>
        <r>
          <rPr>
            <b/>
            <sz val="9"/>
            <color indexed="81"/>
            <rFont val="Tahoma"/>
            <family val="2"/>
          </rPr>
          <t>Marlen Vargas Benavides:</t>
        </r>
        <r>
          <rPr>
            <sz val="9"/>
            <color indexed="81"/>
            <rFont val="Tahoma"/>
            <family val="2"/>
          </rPr>
          <t xml:space="preserve">
incluyen el porcentanje que le corresponde del programa 926
</t>
        </r>
      </text>
    </comment>
    <comment ref="B42" authorId="1" shapeId="0" xr:uid="{D9CAAD49-22C3-46B1-81BC-65661445892E}">
      <text>
        <r>
          <rPr>
            <b/>
            <sz val="9"/>
            <color indexed="81"/>
            <rFont val="Tahoma"/>
            <family val="2"/>
          </rPr>
          <t>Marlen Vargas Benavides:</t>
        </r>
        <r>
          <rPr>
            <sz val="9"/>
            <color indexed="81"/>
            <rFont val="Tahoma"/>
            <family val="2"/>
          </rPr>
          <t xml:space="preserve">
incluyen el porcentanje que le corresponde del programa 926
</t>
        </r>
      </text>
    </comment>
    <comment ref="B43" authorId="1" shapeId="0" xr:uid="{73418039-5C5F-47A8-9E6A-533AAA49865B}">
      <text>
        <r>
          <rPr>
            <b/>
            <sz val="9"/>
            <color indexed="81"/>
            <rFont val="Tahoma"/>
            <family val="2"/>
          </rPr>
          <t>Marlen Vargas Benavides:</t>
        </r>
        <r>
          <rPr>
            <sz val="9"/>
            <color indexed="81"/>
            <rFont val="Tahoma"/>
            <family val="2"/>
          </rPr>
          <t xml:space="preserve">
incluyen el porcentanje que le corresponde del programa 926
</t>
        </r>
      </text>
    </comment>
    <comment ref="B44" authorId="1" shapeId="0" xr:uid="{C3801D2E-BFB0-45E1-83E0-574359AF406A}">
      <text>
        <r>
          <rPr>
            <b/>
            <sz val="9"/>
            <color indexed="81"/>
            <rFont val="Tahoma"/>
            <family val="2"/>
          </rPr>
          <t>Marlen Vargas Benavides:</t>
        </r>
        <r>
          <rPr>
            <sz val="9"/>
            <color indexed="81"/>
            <rFont val="Tahoma"/>
            <family val="2"/>
          </rPr>
          <t xml:space="preserve">
incluyen el porcentanje que le corresponde del programa 926
</t>
        </r>
      </text>
    </comment>
    <comment ref="B45" authorId="1" shapeId="0" xr:uid="{D6FFC33F-80E5-4F2D-BC45-B818274631C0}">
      <text>
        <r>
          <rPr>
            <b/>
            <sz val="9"/>
            <color indexed="81"/>
            <rFont val="Tahoma"/>
            <family val="2"/>
          </rPr>
          <t>Marlen Vargas Benavides:</t>
        </r>
        <r>
          <rPr>
            <sz val="9"/>
            <color indexed="81"/>
            <rFont val="Tahoma"/>
            <family val="2"/>
          </rPr>
          <t xml:space="preserve">
incluyen el porcentanje que le corresponde del programa 926
</t>
        </r>
      </text>
    </comment>
    <comment ref="B46" authorId="1" shapeId="0" xr:uid="{92085807-4EDD-4D7D-8DE7-79BD77682E60}">
      <text>
        <r>
          <rPr>
            <b/>
            <sz val="9"/>
            <color indexed="81"/>
            <rFont val="Tahoma"/>
            <family val="2"/>
          </rPr>
          <t>Marlen Vargas Benavides:</t>
        </r>
        <r>
          <rPr>
            <sz val="9"/>
            <color indexed="81"/>
            <rFont val="Tahoma"/>
            <family val="2"/>
          </rPr>
          <t xml:space="preserve">
incluyen el porcentanje que le corresponde del programa 926
</t>
        </r>
      </text>
    </comment>
    <comment ref="C47" authorId="0" shapeId="0" xr:uid="{00000000-0006-0000-0100-000003000000}">
      <text>
        <r>
          <rPr>
            <b/>
            <sz val="9"/>
            <color indexed="81"/>
            <rFont val="Tahoma"/>
            <family val="2"/>
          </rPr>
          <t>mvargasb:</t>
        </r>
        <r>
          <rPr>
            <sz val="9"/>
            <color indexed="81"/>
            <rFont val="Tahoma"/>
            <family val="2"/>
          </rPr>
          <t xml:space="preserve">
ND por presupuesto
</t>
        </r>
      </text>
    </comment>
    <comment ref="D47" authorId="0" shapeId="0" xr:uid="{00000000-0006-0000-0100-000004000000}">
      <text>
        <r>
          <rPr>
            <b/>
            <sz val="9"/>
            <color indexed="81"/>
            <rFont val="Tahoma"/>
            <family val="2"/>
          </rPr>
          <t>mvargasb:</t>
        </r>
        <r>
          <rPr>
            <sz val="9"/>
            <color indexed="81"/>
            <rFont val="Tahoma"/>
            <family val="2"/>
          </rPr>
          <t xml:space="preserve">
ND por presupuesto
</t>
        </r>
      </text>
    </comment>
    <comment ref="E47" authorId="0" shapeId="0" xr:uid="{00000000-0006-0000-0100-000005000000}">
      <text>
        <r>
          <rPr>
            <b/>
            <sz val="9"/>
            <color indexed="81"/>
            <rFont val="Tahoma"/>
            <family val="2"/>
          </rPr>
          <t>mvargasb:</t>
        </r>
        <r>
          <rPr>
            <sz val="9"/>
            <color indexed="81"/>
            <rFont val="Tahoma"/>
            <family val="2"/>
          </rPr>
          <t xml:space="preserve">
ND por presupuesto
</t>
        </r>
      </text>
    </comment>
    <comment ref="F47" authorId="0" shapeId="0" xr:uid="{00000000-0006-0000-0100-000006000000}">
      <text>
        <r>
          <rPr>
            <b/>
            <sz val="9"/>
            <color indexed="81"/>
            <rFont val="Tahoma"/>
            <family val="2"/>
          </rPr>
          <t>mvargasb:</t>
        </r>
        <r>
          <rPr>
            <sz val="9"/>
            <color indexed="81"/>
            <rFont val="Tahoma"/>
            <family val="2"/>
          </rPr>
          <t xml:space="preserve">
ND por presupuesto
</t>
        </r>
      </text>
    </comment>
    <comment ref="G47" authorId="0" shapeId="0" xr:uid="{00000000-0006-0000-0100-000007000000}">
      <text>
        <r>
          <rPr>
            <b/>
            <sz val="9"/>
            <color indexed="81"/>
            <rFont val="Tahoma"/>
            <family val="2"/>
          </rPr>
          <t>mvargasb:</t>
        </r>
        <r>
          <rPr>
            <sz val="9"/>
            <color indexed="81"/>
            <rFont val="Tahoma"/>
            <family val="2"/>
          </rPr>
          <t xml:space="preserve">
ND por presupuesto
</t>
        </r>
      </text>
    </comment>
    <comment ref="H47" authorId="0" shapeId="0" xr:uid="{00000000-0006-0000-0100-000008000000}">
      <text>
        <r>
          <rPr>
            <b/>
            <sz val="9"/>
            <color indexed="81"/>
            <rFont val="Tahoma"/>
            <family val="2"/>
          </rPr>
          <t>mvargasb:</t>
        </r>
        <r>
          <rPr>
            <sz val="9"/>
            <color indexed="81"/>
            <rFont val="Tahoma"/>
            <family val="2"/>
          </rPr>
          <t xml:space="preserve">
ND por presupuesto
</t>
        </r>
      </text>
    </comment>
    <comment ref="I47" authorId="0" shapeId="0" xr:uid="{00000000-0006-0000-0100-000009000000}">
      <text>
        <r>
          <rPr>
            <b/>
            <sz val="9"/>
            <color indexed="81"/>
            <rFont val="Tahoma"/>
            <family val="2"/>
          </rPr>
          <t>mvargasb:</t>
        </r>
        <r>
          <rPr>
            <sz val="9"/>
            <color indexed="81"/>
            <rFont val="Tahoma"/>
            <family val="2"/>
          </rPr>
          <t xml:space="preserve">
ND por presupuesto
</t>
        </r>
      </text>
    </comment>
    <comment ref="J47" authorId="0" shapeId="0" xr:uid="{00000000-0006-0000-0100-00000A000000}">
      <text>
        <r>
          <rPr>
            <b/>
            <sz val="9"/>
            <color indexed="81"/>
            <rFont val="Tahoma"/>
            <family val="2"/>
          </rPr>
          <t>mvargasb:</t>
        </r>
        <r>
          <rPr>
            <sz val="9"/>
            <color indexed="81"/>
            <rFont val="Tahoma"/>
            <family val="2"/>
          </rPr>
          <t xml:space="preserve">
ND por presupuesto
</t>
        </r>
      </text>
    </comment>
    <comment ref="K47" authorId="0" shapeId="0" xr:uid="{00000000-0006-0000-0100-00000B000000}">
      <text>
        <r>
          <rPr>
            <b/>
            <sz val="9"/>
            <color indexed="81"/>
            <rFont val="Tahoma"/>
            <family val="2"/>
          </rPr>
          <t>mvargasb:</t>
        </r>
        <r>
          <rPr>
            <sz val="9"/>
            <color indexed="81"/>
            <rFont val="Tahoma"/>
            <family val="2"/>
          </rPr>
          <t xml:space="preserve">
ND por presupuesto
</t>
        </r>
      </text>
    </comment>
    <comment ref="B48" authorId="1" shapeId="0" xr:uid="{00000000-0006-0000-0100-00000C000000}">
      <text>
        <r>
          <rPr>
            <b/>
            <sz val="9"/>
            <color indexed="81"/>
            <rFont val="Tahoma"/>
            <family val="2"/>
          </rPr>
          <t>Marlen Vargas Benavides:</t>
        </r>
        <r>
          <rPr>
            <sz val="9"/>
            <color indexed="81"/>
            <rFont val="Tahoma"/>
            <family val="2"/>
          </rPr>
          <t xml:space="preserve">
Se divide solo sobre primera instancia porque es el mismo expediente que genera la segunda o tercera 
instancia</t>
        </r>
      </text>
    </comment>
    <comment ref="C49" authorId="0" shapeId="0" xr:uid="{00000000-0006-0000-0100-00000D000000}">
      <text>
        <r>
          <rPr>
            <b/>
            <sz val="9"/>
            <color indexed="81"/>
            <rFont val="Tahoma"/>
            <family val="2"/>
          </rPr>
          <t>mvargasb:</t>
        </r>
        <r>
          <rPr>
            <sz val="9"/>
            <color indexed="81"/>
            <rFont val="Tahoma"/>
            <family val="2"/>
          </rPr>
          <t xml:space="preserve">
ND por presupuesto
</t>
        </r>
      </text>
    </comment>
    <comment ref="D49" authorId="0" shapeId="0" xr:uid="{00000000-0006-0000-0100-00000E000000}">
      <text>
        <r>
          <rPr>
            <b/>
            <sz val="9"/>
            <color indexed="81"/>
            <rFont val="Tahoma"/>
            <family val="2"/>
          </rPr>
          <t>mvargasb:</t>
        </r>
        <r>
          <rPr>
            <sz val="9"/>
            <color indexed="81"/>
            <rFont val="Tahoma"/>
            <family val="2"/>
          </rPr>
          <t xml:space="preserve">
ND por presupuesto
</t>
        </r>
      </text>
    </comment>
    <comment ref="E49" authorId="0" shapeId="0" xr:uid="{00000000-0006-0000-0100-00000F000000}">
      <text>
        <r>
          <rPr>
            <b/>
            <sz val="9"/>
            <color indexed="81"/>
            <rFont val="Tahoma"/>
            <family val="2"/>
          </rPr>
          <t>mvargasb:</t>
        </r>
        <r>
          <rPr>
            <sz val="9"/>
            <color indexed="81"/>
            <rFont val="Tahoma"/>
            <family val="2"/>
          </rPr>
          <t xml:space="preserve">
ND por presupuesto
</t>
        </r>
      </text>
    </comment>
    <comment ref="F49" authorId="0" shapeId="0" xr:uid="{00000000-0006-0000-0100-000010000000}">
      <text>
        <r>
          <rPr>
            <b/>
            <sz val="9"/>
            <color indexed="81"/>
            <rFont val="Tahoma"/>
            <family val="2"/>
          </rPr>
          <t>mvargasb:</t>
        </r>
        <r>
          <rPr>
            <sz val="9"/>
            <color indexed="81"/>
            <rFont val="Tahoma"/>
            <family val="2"/>
          </rPr>
          <t xml:space="preserve">
ND por presupuesto
</t>
        </r>
      </text>
    </comment>
    <comment ref="G49" authorId="0" shapeId="0" xr:uid="{00000000-0006-0000-0100-000011000000}">
      <text>
        <r>
          <rPr>
            <b/>
            <sz val="9"/>
            <color indexed="81"/>
            <rFont val="Tahoma"/>
            <family val="2"/>
          </rPr>
          <t>mvargasb:</t>
        </r>
        <r>
          <rPr>
            <sz val="9"/>
            <color indexed="81"/>
            <rFont val="Tahoma"/>
            <family val="2"/>
          </rPr>
          <t xml:space="preserve">
ND por presupuesto
</t>
        </r>
      </text>
    </comment>
    <comment ref="H49" authorId="0" shapeId="0" xr:uid="{00000000-0006-0000-0100-000012000000}">
      <text>
        <r>
          <rPr>
            <b/>
            <sz val="9"/>
            <color indexed="81"/>
            <rFont val="Tahoma"/>
            <family val="2"/>
          </rPr>
          <t>mvargasb:</t>
        </r>
        <r>
          <rPr>
            <sz val="9"/>
            <color indexed="81"/>
            <rFont val="Tahoma"/>
            <family val="2"/>
          </rPr>
          <t xml:space="preserve">
ND por presupuesto
</t>
        </r>
      </text>
    </comment>
    <comment ref="I49" authorId="0" shapeId="0" xr:uid="{00000000-0006-0000-0100-000013000000}">
      <text>
        <r>
          <rPr>
            <b/>
            <sz val="9"/>
            <color indexed="81"/>
            <rFont val="Tahoma"/>
            <family val="2"/>
          </rPr>
          <t>mvargasb:</t>
        </r>
        <r>
          <rPr>
            <sz val="9"/>
            <color indexed="81"/>
            <rFont val="Tahoma"/>
            <family val="2"/>
          </rPr>
          <t xml:space="preserve">
ND por presupuesto
</t>
        </r>
      </text>
    </comment>
    <comment ref="J49" authorId="0" shapeId="0" xr:uid="{00000000-0006-0000-0100-000014000000}">
      <text>
        <r>
          <rPr>
            <b/>
            <sz val="9"/>
            <color indexed="81"/>
            <rFont val="Tahoma"/>
            <family val="2"/>
          </rPr>
          <t>mvargasb:</t>
        </r>
        <r>
          <rPr>
            <sz val="9"/>
            <color indexed="81"/>
            <rFont val="Tahoma"/>
            <family val="2"/>
          </rPr>
          <t xml:space="preserve">
ND por presupuesto
</t>
        </r>
      </text>
    </comment>
    <comment ref="K49" authorId="0" shapeId="0" xr:uid="{00000000-0006-0000-0100-000015000000}">
      <text>
        <r>
          <rPr>
            <b/>
            <sz val="9"/>
            <color indexed="81"/>
            <rFont val="Tahoma"/>
            <family val="2"/>
          </rPr>
          <t>mvargasb:</t>
        </r>
        <r>
          <rPr>
            <sz val="9"/>
            <color indexed="81"/>
            <rFont val="Tahoma"/>
            <family val="2"/>
          </rPr>
          <t xml:space="preserve">
ND por presupuesto
</t>
        </r>
      </text>
    </comment>
    <comment ref="C51" authorId="0" shapeId="0" xr:uid="{00000000-0006-0000-0100-000016000000}">
      <text>
        <r>
          <rPr>
            <b/>
            <sz val="9"/>
            <color indexed="81"/>
            <rFont val="Tahoma"/>
            <family val="2"/>
          </rPr>
          <t>mvargasb:</t>
        </r>
        <r>
          <rPr>
            <sz val="9"/>
            <color indexed="81"/>
            <rFont val="Tahoma"/>
            <family val="2"/>
          </rPr>
          <t xml:space="preserve">
ND por presupuesto
</t>
        </r>
      </text>
    </comment>
    <comment ref="D51" authorId="0" shapeId="0" xr:uid="{00000000-0006-0000-0100-000017000000}">
      <text>
        <r>
          <rPr>
            <b/>
            <sz val="9"/>
            <color indexed="81"/>
            <rFont val="Tahoma"/>
            <family val="2"/>
          </rPr>
          <t>mvargasb:</t>
        </r>
        <r>
          <rPr>
            <sz val="9"/>
            <color indexed="81"/>
            <rFont val="Tahoma"/>
            <family val="2"/>
          </rPr>
          <t xml:space="preserve">
ND por presupuesto
</t>
        </r>
      </text>
    </comment>
    <comment ref="E51" authorId="0" shapeId="0" xr:uid="{00000000-0006-0000-0100-000018000000}">
      <text>
        <r>
          <rPr>
            <b/>
            <sz val="9"/>
            <color indexed="81"/>
            <rFont val="Tahoma"/>
            <family val="2"/>
          </rPr>
          <t>mvargasb:</t>
        </r>
        <r>
          <rPr>
            <sz val="9"/>
            <color indexed="81"/>
            <rFont val="Tahoma"/>
            <family val="2"/>
          </rPr>
          <t xml:space="preserve">
ND por presupuesto
</t>
        </r>
      </text>
    </comment>
    <comment ref="F51" authorId="0" shapeId="0" xr:uid="{00000000-0006-0000-0100-000019000000}">
      <text>
        <r>
          <rPr>
            <b/>
            <sz val="9"/>
            <color indexed="81"/>
            <rFont val="Tahoma"/>
            <family val="2"/>
          </rPr>
          <t>mvargasb:</t>
        </r>
        <r>
          <rPr>
            <sz val="9"/>
            <color indexed="81"/>
            <rFont val="Tahoma"/>
            <family val="2"/>
          </rPr>
          <t xml:space="preserve">
ND por presupuesto
</t>
        </r>
      </text>
    </comment>
    <comment ref="G51" authorId="0" shapeId="0" xr:uid="{00000000-0006-0000-0100-00001A000000}">
      <text>
        <r>
          <rPr>
            <b/>
            <sz val="9"/>
            <color indexed="81"/>
            <rFont val="Tahoma"/>
            <family val="2"/>
          </rPr>
          <t>mvargasb:</t>
        </r>
        <r>
          <rPr>
            <sz val="9"/>
            <color indexed="81"/>
            <rFont val="Tahoma"/>
            <family val="2"/>
          </rPr>
          <t xml:space="preserve">
ND por presupuesto
</t>
        </r>
      </text>
    </comment>
    <comment ref="H51" authorId="0" shapeId="0" xr:uid="{00000000-0006-0000-0100-00001B000000}">
      <text>
        <r>
          <rPr>
            <b/>
            <sz val="9"/>
            <color indexed="81"/>
            <rFont val="Tahoma"/>
            <family val="2"/>
          </rPr>
          <t>mvargasb:</t>
        </r>
        <r>
          <rPr>
            <sz val="9"/>
            <color indexed="81"/>
            <rFont val="Tahoma"/>
            <family val="2"/>
          </rPr>
          <t xml:space="preserve">
ND por presupuesto
</t>
        </r>
      </text>
    </comment>
    <comment ref="I51" authorId="0" shapeId="0" xr:uid="{00000000-0006-0000-0100-00001C000000}">
      <text>
        <r>
          <rPr>
            <b/>
            <sz val="9"/>
            <color indexed="81"/>
            <rFont val="Tahoma"/>
            <family val="2"/>
          </rPr>
          <t>mvargasb:</t>
        </r>
        <r>
          <rPr>
            <sz val="9"/>
            <color indexed="81"/>
            <rFont val="Tahoma"/>
            <family val="2"/>
          </rPr>
          <t xml:space="preserve">
ND por presupuesto
</t>
        </r>
      </text>
    </comment>
    <comment ref="J51" authorId="0" shapeId="0" xr:uid="{00000000-0006-0000-0100-00001D000000}">
      <text>
        <r>
          <rPr>
            <b/>
            <sz val="9"/>
            <color indexed="81"/>
            <rFont val="Tahoma"/>
            <family val="2"/>
          </rPr>
          <t>mvargasb:</t>
        </r>
        <r>
          <rPr>
            <sz val="9"/>
            <color indexed="81"/>
            <rFont val="Tahoma"/>
            <family val="2"/>
          </rPr>
          <t xml:space="preserve">
ND por presupuesto
</t>
        </r>
      </text>
    </comment>
    <comment ref="K51" authorId="0" shapeId="0" xr:uid="{00000000-0006-0000-0100-00001E000000}">
      <text>
        <r>
          <rPr>
            <b/>
            <sz val="9"/>
            <color indexed="81"/>
            <rFont val="Tahoma"/>
            <family val="2"/>
          </rPr>
          <t>mvargasb:</t>
        </r>
        <r>
          <rPr>
            <sz val="9"/>
            <color indexed="81"/>
            <rFont val="Tahoma"/>
            <family val="2"/>
          </rPr>
          <t xml:space="preserve">
ND por presupuesto
</t>
        </r>
      </text>
    </comment>
    <comment ref="C53" authorId="0" shapeId="0" xr:uid="{00000000-0006-0000-0100-00001F000000}">
      <text>
        <r>
          <rPr>
            <b/>
            <sz val="9"/>
            <color indexed="81"/>
            <rFont val="Tahoma"/>
            <family val="2"/>
          </rPr>
          <t>mvargasb:</t>
        </r>
        <r>
          <rPr>
            <sz val="9"/>
            <color indexed="81"/>
            <rFont val="Tahoma"/>
            <family val="2"/>
          </rPr>
          <t xml:space="preserve">
ND por presupuesto
</t>
        </r>
      </text>
    </comment>
    <comment ref="D53" authorId="0" shapeId="0" xr:uid="{00000000-0006-0000-0100-000020000000}">
      <text>
        <r>
          <rPr>
            <b/>
            <sz val="9"/>
            <color indexed="81"/>
            <rFont val="Tahoma"/>
            <family val="2"/>
          </rPr>
          <t>mvargasb:</t>
        </r>
        <r>
          <rPr>
            <sz val="9"/>
            <color indexed="81"/>
            <rFont val="Tahoma"/>
            <family val="2"/>
          </rPr>
          <t xml:space="preserve">
ND por presupuesto
</t>
        </r>
      </text>
    </comment>
    <comment ref="E53" authorId="0" shapeId="0" xr:uid="{00000000-0006-0000-0100-000021000000}">
      <text>
        <r>
          <rPr>
            <b/>
            <sz val="9"/>
            <color indexed="81"/>
            <rFont val="Tahoma"/>
            <family val="2"/>
          </rPr>
          <t>mvargasb:</t>
        </r>
        <r>
          <rPr>
            <sz val="9"/>
            <color indexed="81"/>
            <rFont val="Tahoma"/>
            <family val="2"/>
          </rPr>
          <t xml:space="preserve">
ND por presupuesto
</t>
        </r>
      </text>
    </comment>
    <comment ref="F53" authorId="0" shapeId="0" xr:uid="{00000000-0006-0000-0100-000022000000}">
      <text>
        <r>
          <rPr>
            <b/>
            <sz val="9"/>
            <color indexed="81"/>
            <rFont val="Tahoma"/>
            <family val="2"/>
          </rPr>
          <t>mvargasb:</t>
        </r>
        <r>
          <rPr>
            <sz val="9"/>
            <color indexed="81"/>
            <rFont val="Tahoma"/>
            <family val="2"/>
          </rPr>
          <t xml:space="preserve">
ND por presupuesto
</t>
        </r>
      </text>
    </comment>
    <comment ref="G53" authorId="0" shapeId="0" xr:uid="{00000000-0006-0000-0100-000023000000}">
      <text>
        <r>
          <rPr>
            <b/>
            <sz val="9"/>
            <color indexed="81"/>
            <rFont val="Tahoma"/>
            <family val="2"/>
          </rPr>
          <t>mvargasb:</t>
        </r>
        <r>
          <rPr>
            <sz val="9"/>
            <color indexed="81"/>
            <rFont val="Tahoma"/>
            <family val="2"/>
          </rPr>
          <t xml:space="preserve">
ND por presupuesto
</t>
        </r>
      </text>
    </comment>
    <comment ref="H53" authorId="0" shapeId="0" xr:uid="{00000000-0006-0000-0100-000024000000}">
      <text>
        <r>
          <rPr>
            <b/>
            <sz val="9"/>
            <color indexed="81"/>
            <rFont val="Tahoma"/>
            <family val="2"/>
          </rPr>
          <t>mvargasb:</t>
        </r>
        <r>
          <rPr>
            <sz val="9"/>
            <color indexed="81"/>
            <rFont val="Tahoma"/>
            <family val="2"/>
          </rPr>
          <t xml:space="preserve">
ND por presupuesto
</t>
        </r>
      </text>
    </comment>
    <comment ref="I53" authorId="0" shapeId="0" xr:uid="{00000000-0006-0000-0100-000025000000}">
      <text>
        <r>
          <rPr>
            <b/>
            <sz val="9"/>
            <color indexed="81"/>
            <rFont val="Tahoma"/>
            <family val="2"/>
          </rPr>
          <t>mvargasb:</t>
        </r>
        <r>
          <rPr>
            <sz val="9"/>
            <color indexed="81"/>
            <rFont val="Tahoma"/>
            <family val="2"/>
          </rPr>
          <t xml:space="preserve">
ND por presupuesto
</t>
        </r>
      </text>
    </comment>
    <comment ref="J53" authorId="0" shapeId="0" xr:uid="{00000000-0006-0000-0100-000026000000}">
      <text>
        <r>
          <rPr>
            <b/>
            <sz val="9"/>
            <color indexed="81"/>
            <rFont val="Tahoma"/>
            <family val="2"/>
          </rPr>
          <t>mvargasb:</t>
        </r>
        <r>
          <rPr>
            <sz val="9"/>
            <color indexed="81"/>
            <rFont val="Tahoma"/>
            <family val="2"/>
          </rPr>
          <t xml:space="preserve">
ND por presupuesto
</t>
        </r>
      </text>
    </comment>
    <comment ref="K53" authorId="0" shapeId="0" xr:uid="{00000000-0006-0000-0100-000027000000}">
      <text>
        <r>
          <rPr>
            <b/>
            <sz val="9"/>
            <color indexed="81"/>
            <rFont val="Tahoma"/>
            <family val="2"/>
          </rPr>
          <t>mvargasb:</t>
        </r>
        <r>
          <rPr>
            <sz val="9"/>
            <color indexed="81"/>
            <rFont val="Tahoma"/>
            <family val="2"/>
          </rPr>
          <t xml:space="preserve">
ND por presupuesto
</t>
        </r>
      </text>
    </comment>
    <comment ref="C55" authorId="0" shapeId="0" xr:uid="{00000000-0006-0000-0100-000028000000}">
      <text>
        <r>
          <rPr>
            <b/>
            <sz val="9"/>
            <color indexed="81"/>
            <rFont val="Tahoma"/>
            <family val="2"/>
          </rPr>
          <t>mvargasb:</t>
        </r>
        <r>
          <rPr>
            <sz val="9"/>
            <color indexed="81"/>
            <rFont val="Tahoma"/>
            <family val="2"/>
          </rPr>
          <t xml:space="preserve">
ND por presupuesto
</t>
        </r>
      </text>
    </comment>
    <comment ref="D55" authorId="0" shapeId="0" xr:uid="{00000000-0006-0000-0100-000029000000}">
      <text>
        <r>
          <rPr>
            <b/>
            <sz val="9"/>
            <color indexed="81"/>
            <rFont val="Tahoma"/>
            <family val="2"/>
          </rPr>
          <t>mvargasb:</t>
        </r>
        <r>
          <rPr>
            <sz val="9"/>
            <color indexed="81"/>
            <rFont val="Tahoma"/>
            <family val="2"/>
          </rPr>
          <t xml:space="preserve">
ND por presupuesto
</t>
        </r>
      </text>
    </comment>
    <comment ref="E55" authorId="0" shapeId="0" xr:uid="{00000000-0006-0000-0100-00002A000000}">
      <text>
        <r>
          <rPr>
            <b/>
            <sz val="9"/>
            <color indexed="81"/>
            <rFont val="Tahoma"/>
            <family val="2"/>
          </rPr>
          <t>mvargasb:</t>
        </r>
        <r>
          <rPr>
            <sz val="9"/>
            <color indexed="81"/>
            <rFont val="Tahoma"/>
            <family val="2"/>
          </rPr>
          <t xml:space="preserve">
ND por presupuesto
</t>
        </r>
      </text>
    </comment>
    <comment ref="F55" authorId="0" shapeId="0" xr:uid="{00000000-0006-0000-0100-00002B000000}">
      <text>
        <r>
          <rPr>
            <b/>
            <sz val="9"/>
            <color indexed="81"/>
            <rFont val="Tahoma"/>
            <family val="2"/>
          </rPr>
          <t>mvargasb:</t>
        </r>
        <r>
          <rPr>
            <sz val="9"/>
            <color indexed="81"/>
            <rFont val="Tahoma"/>
            <family val="2"/>
          </rPr>
          <t xml:space="preserve">
ND por presupuesto
</t>
        </r>
      </text>
    </comment>
    <comment ref="G55" authorId="0" shapeId="0" xr:uid="{00000000-0006-0000-0100-00002C000000}">
      <text>
        <r>
          <rPr>
            <b/>
            <sz val="9"/>
            <color indexed="81"/>
            <rFont val="Tahoma"/>
            <family val="2"/>
          </rPr>
          <t>mvargasb:</t>
        </r>
        <r>
          <rPr>
            <sz val="9"/>
            <color indexed="81"/>
            <rFont val="Tahoma"/>
            <family val="2"/>
          </rPr>
          <t xml:space="preserve">
ND por presupuesto
</t>
        </r>
      </text>
    </comment>
    <comment ref="H55" authorId="0" shapeId="0" xr:uid="{00000000-0006-0000-0100-00002D000000}">
      <text>
        <r>
          <rPr>
            <b/>
            <sz val="9"/>
            <color indexed="81"/>
            <rFont val="Tahoma"/>
            <family val="2"/>
          </rPr>
          <t>mvargasb:</t>
        </r>
        <r>
          <rPr>
            <sz val="9"/>
            <color indexed="81"/>
            <rFont val="Tahoma"/>
            <family val="2"/>
          </rPr>
          <t xml:space="preserve">
ND por presupuesto
</t>
        </r>
      </text>
    </comment>
    <comment ref="I55" authorId="0" shapeId="0" xr:uid="{00000000-0006-0000-0100-00002E000000}">
      <text>
        <r>
          <rPr>
            <b/>
            <sz val="9"/>
            <color indexed="81"/>
            <rFont val="Tahoma"/>
            <family val="2"/>
          </rPr>
          <t>mvargasb:</t>
        </r>
        <r>
          <rPr>
            <sz val="9"/>
            <color indexed="81"/>
            <rFont val="Tahoma"/>
            <family val="2"/>
          </rPr>
          <t xml:space="preserve">
ND por presupuesto
</t>
        </r>
      </text>
    </comment>
    <comment ref="J55" authorId="0" shapeId="0" xr:uid="{00000000-0006-0000-0100-00002F000000}">
      <text>
        <r>
          <rPr>
            <b/>
            <sz val="9"/>
            <color indexed="81"/>
            <rFont val="Tahoma"/>
            <family val="2"/>
          </rPr>
          <t>mvargasb:</t>
        </r>
        <r>
          <rPr>
            <sz val="9"/>
            <color indexed="81"/>
            <rFont val="Tahoma"/>
            <family val="2"/>
          </rPr>
          <t xml:space="preserve">
ND por presupuesto
</t>
        </r>
      </text>
    </comment>
    <comment ref="K55" authorId="0" shapeId="0" xr:uid="{00000000-0006-0000-0100-000030000000}">
      <text>
        <r>
          <rPr>
            <b/>
            <sz val="9"/>
            <color indexed="81"/>
            <rFont val="Tahoma"/>
            <family val="2"/>
          </rPr>
          <t>mvargasb:</t>
        </r>
        <r>
          <rPr>
            <sz val="9"/>
            <color indexed="81"/>
            <rFont val="Tahoma"/>
            <family val="2"/>
          </rPr>
          <t xml:space="preserve">
ND por presupuesto
</t>
        </r>
      </text>
    </comment>
    <comment ref="C57" authorId="0" shapeId="0" xr:uid="{00000000-0006-0000-0100-000031000000}">
      <text>
        <r>
          <rPr>
            <b/>
            <sz val="9"/>
            <color indexed="81"/>
            <rFont val="Tahoma"/>
            <family val="2"/>
          </rPr>
          <t>mvargasb:</t>
        </r>
        <r>
          <rPr>
            <sz val="9"/>
            <color indexed="81"/>
            <rFont val="Tahoma"/>
            <family val="2"/>
          </rPr>
          <t xml:space="preserve">
ND por presupuesto
</t>
        </r>
      </text>
    </comment>
    <comment ref="D57" authorId="0" shapeId="0" xr:uid="{00000000-0006-0000-0100-000032000000}">
      <text>
        <r>
          <rPr>
            <b/>
            <sz val="9"/>
            <color indexed="81"/>
            <rFont val="Tahoma"/>
            <family val="2"/>
          </rPr>
          <t>mvargasb:</t>
        </r>
        <r>
          <rPr>
            <sz val="9"/>
            <color indexed="81"/>
            <rFont val="Tahoma"/>
            <family val="2"/>
          </rPr>
          <t xml:space="preserve">
ND por presupuesto
</t>
        </r>
      </text>
    </comment>
    <comment ref="E57" authorId="0" shapeId="0" xr:uid="{00000000-0006-0000-0100-000033000000}">
      <text>
        <r>
          <rPr>
            <b/>
            <sz val="9"/>
            <color indexed="81"/>
            <rFont val="Tahoma"/>
            <family val="2"/>
          </rPr>
          <t>mvargasb:</t>
        </r>
        <r>
          <rPr>
            <sz val="9"/>
            <color indexed="81"/>
            <rFont val="Tahoma"/>
            <family val="2"/>
          </rPr>
          <t xml:space="preserve">
ND por presupuesto
</t>
        </r>
      </text>
    </comment>
    <comment ref="F57" authorId="0" shapeId="0" xr:uid="{00000000-0006-0000-0100-000034000000}">
      <text>
        <r>
          <rPr>
            <b/>
            <sz val="9"/>
            <color indexed="81"/>
            <rFont val="Tahoma"/>
            <family val="2"/>
          </rPr>
          <t>mvargasb:</t>
        </r>
        <r>
          <rPr>
            <sz val="9"/>
            <color indexed="81"/>
            <rFont val="Tahoma"/>
            <family val="2"/>
          </rPr>
          <t xml:space="preserve">
ND por presupuesto
</t>
        </r>
      </text>
    </comment>
    <comment ref="G57" authorId="0" shapeId="0" xr:uid="{00000000-0006-0000-0100-000035000000}">
      <text>
        <r>
          <rPr>
            <b/>
            <sz val="9"/>
            <color indexed="81"/>
            <rFont val="Tahoma"/>
            <family val="2"/>
          </rPr>
          <t>mvargasb:</t>
        </r>
        <r>
          <rPr>
            <sz val="9"/>
            <color indexed="81"/>
            <rFont val="Tahoma"/>
            <family val="2"/>
          </rPr>
          <t xml:space="preserve">
ND por presupuesto
</t>
        </r>
      </text>
    </comment>
    <comment ref="H57" authorId="0" shapeId="0" xr:uid="{00000000-0006-0000-0100-000036000000}">
      <text>
        <r>
          <rPr>
            <b/>
            <sz val="9"/>
            <color indexed="81"/>
            <rFont val="Tahoma"/>
            <family val="2"/>
          </rPr>
          <t>mvargasb:</t>
        </r>
        <r>
          <rPr>
            <sz val="9"/>
            <color indexed="81"/>
            <rFont val="Tahoma"/>
            <family val="2"/>
          </rPr>
          <t xml:space="preserve">
ND por presupuesto
</t>
        </r>
      </text>
    </comment>
    <comment ref="I57" authorId="0" shapeId="0" xr:uid="{00000000-0006-0000-0100-000037000000}">
      <text>
        <r>
          <rPr>
            <b/>
            <sz val="9"/>
            <color indexed="81"/>
            <rFont val="Tahoma"/>
            <family val="2"/>
          </rPr>
          <t>mvargasb:</t>
        </r>
        <r>
          <rPr>
            <sz val="9"/>
            <color indexed="81"/>
            <rFont val="Tahoma"/>
            <family val="2"/>
          </rPr>
          <t xml:space="preserve">
ND por presupuesto
</t>
        </r>
      </text>
    </comment>
    <comment ref="J57" authorId="0" shapeId="0" xr:uid="{00000000-0006-0000-0100-000038000000}">
      <text>
        <r>
          <rPr>
            <b/>
            <sz val="9"/>
            <color indexed="81"/>
            <rFont val="Tahoma"/>
            <family val="2"/>
          </rPr>
          <t>mvargasb:</t>
        </r>
        <r>
          <rPr>
            <sz val="9"/>
            <color indexed="81"/>
            <rFont val="Tahoma"/>
            <family val="2"/>
          </rPr>
          <t xml:space="preserve">
ND por presupuesto
</t>
        </r>
      </text>
    </comment>
    <comment ref="K57" authorId="0" shapeId="0" xr:uid="{00000000-0006-0000-0100-000039000000}">
      <text>
        <r>
          <rPr>
            <b/>
            <sz val="9"/>
            <color indexed="81"/>
            <rFont val="Tahoma"/>
            <family val="2"/>
          </rPr>
          <t>mvargasb:</t>
        </r>
        <r>
          <rPr>
            <sz val="9"/>
            <color indexed="81"/>
            <rFont val="Tahoma"/>
            <family val="2"/>
          </rPr>
          <t xml:space="preserve">
ND por presupuesto
</t>
        </r>
      </text>
    </comment>
    <comment ref="C59" authorId="0" shapeId="0" xr:uid="{00000000-0006-0000-0100-00003A000000}">
      <text>
        <r>
          <rPr>
            <b/>
            <sz val="9"/>
            <color indexed="81"/>
            <rFont val="Tahoma"/>
            <family val="2"/>
          </rPr>
          <t>mvargasb:</t>
        </r>
        <r>
          <rPr>
            <sz val="9"/>
            <color indexed="81"/>
            <rFont val="Tahoma"/>
            <family val="2"/>
          </rPr>
          <t xml:space="preserve">
ND por presupuesto
</t>
        </r>
      </text>
    </comment>
    <comment ref="D59" authorId="0" shapeId="0" xr:uid="{00000000-0006-0000-0100-00003B000000}">
      <text>
        <r>
          <rPr>
            <b/>
            <sz val="9"/>
            <color indexed="81"/>
            <rFont val="Tahoma"/>
            <family val="2"/>
          </rPr>
          <t>mvargasb:</t>
        </r>
        <r>
          <rPr>
            <sz val="9"/>
            <color indexed="81"/>
            <rFont val="Tahoma"/>
            <family val="2"/>
          </rPr>
          <t xml:space="preserve">
ND por presupuesto
</t>
        </r>
      </text>
    </comment>
    <comment ref="E59" authorId="0" shapeId="0" xr:uid="{00000000-0006-0000-0100-00003C000000}">
      <text>
        <r>
          <rPr>
            <b/>
            <sz val="9"/>
            <color indexed="81"/>
            <rFont val="Tahoma"/>
            <family val="2"/>
          </rPr>
          <t>mvargasb:</t>
        </r>
        <r>
          <rPr>
            <sz val="9"/>
            <color indexed="81"/>
            <rFont val="Tahoma"/>
            <family val="2"/>
          </rPr>
          <t xml:space="preserve">
ND por presupuesto
</t>
        </r>
      </text>
    </comment>
    <comment ref="F59" authorId="0" shapeId="0" xr:uid="{00000000-0006-0000-0100-00003D000000}">
      <text>
        <r>
          <rPr>
            <b/>
            <sz val="9"/>
            <color indexed="81"/>
            <rFont val="Tahoma"/>
            <family val="2"/>
          </rPr>
          <t>mvargasb:</t>
        </r>
        <r>
          <rPr>
            <sz val="9"/>
            <color indexed="81"/>
            <rFont val="Tahoma"/>
            <family val="2"/>
          </rPr>
          <t xml:space="preserve">
ND por presupuesto
</t>
        </r>
      </text>
    </comment>
    <comment ref="G59" authorId="0" shapeId="0" xr:uid="{00000000-0006-0000-0100-00003E000000}">
      <text>
        <r>
          <rPr>
            <b/>
            <sz val="9"/>
            <color indexed="81"/>
            <rFont val="Tahoma"/>
            <family val="2"/>
          </rPr>
          <t>mvargasb:</t>
        </r>
        <r>
          <rPr>
            <sz val="9"/>
            <color indexed="81"/>
            <rFont val="Tahoma"/>
            <family val="2"/>
          </rPr>
          <t xml:space="preserve">
ND por presupuesto
</t>
        </r>
      </text>
    </comment>
    <comment ref="H59" authorId="0" shapeId="0" xr:uid="{00000000-0006-0000-0100-00003F000000}">
      <text>
        <r>
          <rPr>
            <b/>
            <sz val="9"/>
            <color indexed="81"/>
            <rFont val="Tahoma"/>
            <family val="2"/>
          </rPr>
          <t>mvargasb:</t>
        </r>
        <r>
          <rPr>
            <sz val="9"/>
            <color indexed="81"/>
            <rFont val="Tahoma"/>
            <family val="2"/>
          </rPr>
          <t xml:space="preserve">
ND por presupuesto
</t>
        </r>
      </text>
    </comment>
    <comment ref="I59" authorId="0" shapeId="0" xr:uid="{00000000-0006-0000-0100-000040000000}">
      <text>
        <r>
          <rPr>
            <b/>
            <sz val="9"/>
            <color indexed="81"/>
            <rFont val="Tahoma"/>
            <family val="2"/>
          </rPr>
          <t>mvargasb:</t>
        </r>
        <r>
          <rPr>
            <sz val="9"/>
            <color indexed="81"/>
            <rFont val="Tahoma"/>
            <family val="2"/>
          </rPr>
          <t xml:space="preserve">
ND por presupuesto
</t>
        </r>
      </text>
    </comment>
    <comment ref="J59" authorId="0" shapeId="0" xr:uid="{00000000-0006-0000-0100-000041000000}">
      <text>
        <r>
          <rPr>
            <b/>
            <sz val="9"/>
            <color indexed="81"/>
            <rFont val="Tahoma"/>
            <family val="2"/>
          </rPr>
          <t>mvargasb:</t>
        </r>
        <r>
          <rPr>
            <sz val="9"/>
            <color indexed="81"/>
            <rFont val="Tahoma"/>
            <family val="2"/>
          </rPr>
          <t xml:space="preserve">
ND por presupuesto
</t>
        </r>
      </text>
    </comment>
    <comment ref="K59" authorId="0" shapeId="0" xr:uid="{00000000-0006-0000-0100-000042000000}">
      <text>
        <r>
          <rPr>
            <b/>
            <sz val="9"/>
            <color indexed="81"/>
            <rFont val="Tahoma"/>
            <family val="2"/>
          </rPr>
          <t>mvargasb:</t>
        </r>
        <r>
          <rPr>
            <sz val="9"/>
            <color indexed="81"/>
            <rFont val="Tahoma"/>
            <family val="2"/>
          </rPr>
          <t xml:space="preserve">
ND por presupuesto
</t>
        </r>
      </text>
    </comment>
    <comment ref="C61" authorId="0" shapeId="0" xr:uid="{00000000-0006-0000-0100-000043000000}">
      <text>
        <r>
          <rPr>
            <b/>
            <sz val="9"/>
            <color indexed="81"/>
            <rFont val="Tahoma"/>
            <family val="2"/>
          </rPr>
          <t>mvargasb:</t>
        </r>
        <r>
          <rPr>
            <sz val="9"/>
            <color indexed="81"/>
            <rFont val="Tahoma"/>
            <family val="2"/>
          </rPr>
          <t xml:space="preserve">
ND por presupuesto
</t>
        </r>
      </text>
    </comment>
    <comment ref="D61" authorId="0" shapeId="0" xr:uid="{00000000-0006-0000-0100-000044000000}">
      <text>
        <r>
          <rPr>
            <b/>
            <sz val="9"/>
            <color indexed="81"/>
            <rFont val="Tahoma"/>
            <family val="2"/>
          </rPr>
          <t>mvargasb:</t>
        </r>
        <r>
          <rPr>
            <sz val="9"/>
            <color indexed="81"/>
            <rFont val="Tahoma"/>
            <family val="2"/>
          </rPr>
          <t xml:space="preserve">
ND por presupuesto
</t>
        </r>
      </text>
    </comment>
    <comment ref="E61" authorId="0" shapeId="0" xr:uid="{00000000-0006-0000-0100-000045000000}">
      <text>
        <r>
          <rPr>
            <b/>
            <sz val="9"/>
            <color indexed="81"/>
            <rFont val="Tahoma"/>
            <family val="2"/>
          </rPr>
          <t>mvargasb:</t>
        </r>
        <r>
          <rPr>
            <sz val="9"/>
            <color indexed="81"/>
            <rFont val="Tahoma"/>
            <family val="2"/>
          </rPr>
          <t xml:space="preserve">
ND por presupuesto
</t>
        </r>
      </text>
    </comment>
    <comment ref="F61" authorId="0" shapeId="0" xr:uid="{00000000-0006-0000-0100-000046000000}">
      <text>
        <r>
          <rPr>
            <b/>
            <sz val="9"/>
            <color indexed="81"/>
            <rFont val="Tahoma"/>
            <family val="2"/>
          </rPr>
          <t>mvargasb:</t>
        </r>
        <r>
          <rPr>
            <sz val="9"/>
            <color indexed="81"/>
            <rFont val="Tahoma"/>
            <family val="2"/>
          </rPr>
          <t xml:space="preserve">
ND por presupuesto
</t>
        </r>
      </text>
    </comment>
    <comment ref="G61" authorId="0" shapeId="0" xr:uid="{00000000-0006-0000-0100-000047000000}">
      <text>
        <r>
          <rPr>
            <b/>
            <sz val="9"/>
            <color indexed="81"/>
            <rFont val="Tahoma"/>
            <family val="2"/>
          </rPr>
          <t>mvargasb:</t>
        </r>
        <r>
          <rPr>
            <sz val="9"/>
            <color indexed="81"/>
            <rFont val="Tahoma"/>
            <family val="2"/>
          </rPr>
          <t xml:space="preserve">
ND por presupuesto
</t>
        </r>
      </text>
    </comment>
    <comment ref="H61" authorId="0" shapeId="0" xr:uid="{00000000-0006-0000-0100-000048000000}">
      <text>
        <r>
          <rPr>
            <b/>
            <sz val="9"/>
            <color indexed="81"/>
            <rFont val="Tahoma"/>
            <family val="2"/>
          </rPr>
          <t>mvargasb:</t>
        </r>
        <r>
          <rPr>
            <sz val="9"/>
            <color indexed="81"/>
            <rFont val="Tahoma"/>
            <family val="2"/>
          </rPr>
          <t xml:space="preserve">
ND por presupuesto
</t>
        </r>
      </text>
    </comment>
    <comment ref="I61" authorId="0" shapeId="0" xr:uid="{00000000-0006-0000-0100-000049000000}">
      <text>
        <r>
          <rPr>
            <b/>
            <sz val="9"/>
            <color indexed="81"/>
            <rFont val="Tahoma"/>
            <family val="2"/>
          </rPr>
          <t>mvargasb:</t>
        </r>
        <r>
          <rPr>
            <sz val="9"/>
            <color indexed="81"/>
            <rFont val="Tahoma"/>
            <family val="2"/>
          </rPr>
          <t xml:space="preserve">
ND por presupuesto
</t>
        </r>
      </text>
    </comment>
    <comment ref="J61" authorId="0" shapeId="0" xr:uid="{00000000-0006-0000-0100-00004A000000}">
      <text>
        <r>
          <rPr>
            <b/>
            <sz val="9"/>
            <color indexed="81"/>
            <rFont val="Tahoma"/>
            <family val="2"/>
          </rPr>
          <t>mvargasb:</t>
        </r>
        <r>
          <rPr>
            <sz val="9"/>
            <color indexed="81"/>
            <rFont val="Tahoma"/>
            <family val="2"/>
          </rPr>
          <t xml:space="preserve">
ND por presupuesto
</t>
        </r>
      </text>
    </comment>
    <comment ref="K61" authorId="0" shapeId="0" xr:uid="{00000000-0006-0000-0100-00004B000000}">
      <text>
        <r>
          <rPr>
            <b/>
            <sz val="9"/>
            <color indexed="81"/>
            <rFont val="Tahoma"/>
            <family val="2"/>
          </rPr>
          <t>mvargasb:</t>
        </r>
        <r>
          <rPr>
            <sz val="9"/>
            <color indexed="81"/>
            <rFont val="Tahoma"/>
            <family val="2"/>
          </rPr>
          <t xml:space="preserve">
ND por presupuesto
</t>
        </r>
      </text>
    </comment>
    <comment ref="C63" authorId="0" shapeId="0" xr:uid="{00000000-0006-0000-0100-00004C000000}">
      <text>
        <r>
          <rPr>
            <b/>
            <sz val="9"/>
            <color indexed="81"/>
            <rFont val="Tahoma"/>
            <family val="2"/>
          </rPr>
          <t>mvargasb:</t>
        </r>
        <r>
          <rPr>
            <sz val="9"/>
            <color indexed="81"/>
            <rFont val="Tahoma"/>
            <family val="2"/>
          </rPr>
          <t xml:space="preserve">
ND por presupuesto
</t>
        </r>
      </text>
    </comment>
    <comment ref="D63" authorId="0" shapeId="0" xr:uid="{00000000-0006-0000-0100-00004D000000}">
      <text>
        <r>
          <rPr>
            <b/>
            <sz val="9"/>
            <color indexed="81"/>
            <rFont val="Tahoma"/>
            <family val="2"/>
          </rPr>
          <t>mvargasb:</t>
        </r>
        <r>
          <rPr>
            <sz val="9"/>
            <color indexed="81"/>
            <rFont val="Tahoma"/>
            <family val="2"/>
          </rPr>
          <t xml:space="preserve">
ND por presupuesto
</t>
        </r>
      </text>
    </comment>
    <comment ref="E63" authorId="0" shapeId="0" xr:uid="{00000000-0006-0000-0100-00004E000000}">
      <text>
        <r>
          <rPr>
            <b/>
            <sz val="9"/>
            <color indexed="81"/>
            <rFont val="Tahoma"/>
            <family val="2"/>
          </rPr>
          <t>mvargasb:</t>
        </r>
        <r>
          <rPr>
            <sz val="9"/>
            <color indexed="81"/>
            <rFont val="Tahoma"/>
            <family val="2"/>
          </rPr>
          <t xml:space="preserve">
ND por presupuesto
</t>
        </r>
      </text>
    </comment>
    <comment ref="F63" authorId="0" shapeId="0" xr:uid="{00000000-0006-0000-0100-00004F000000}">
      <text>
        <r>
          <rPr>
            <b/>
            <sz val="9"/>
            <color indexed="81"/>
            <rFont val="Tahoma"/>
            <family val="2"/>
          </rPr>
          <t>mvargasb:</t>
        </r>
        <r>
          <rPr>
            <sz val="9"/>
            <color indexed="81"/>
            <rFont val="Tahoma"/>
            <family val="2"/>
          </rPr>
          <t xml:space="preserve">
ND por presupuesto
</t>
        </r>
      </text>
    </comment>
    <comment ref="G63" authorId="0" shapeId="0" xr:uid="{00000000-0006-0000-0100-000050000000}">
      <text>
        <r>
          <rPr>
            <b/>
            <sz val="9"/>
            <color indexed="81"/>
            <rFont val="Tahoma"/>
            <family val="2"/>
          </rPr>
          <t>mvargasb:</t>
        </r>
        <r>
          <rPr>
            <sz val="9"/>
            <color indexed="81"/>
            <rFont val="Tahoma"/>
            <family val="2"/>
          </rPr>
          <t xml:space="preserve">
ND por presupuesto
</t>
        </r>
      </text>
    </comment>
    <comment ref="H63" authorId="0" shapeId="0" xr:uid="{00000000-0006-0000-0100-000051000000}">
      <text>
        <r>
          <rPr>
            <b/>
            <sz val="9"/>
            <color indexed="81"/>
            <rFont val="Tahoma"/>
            <family val="2"/>
          </rPr>
          <t>mvargasb:</t>
        </r>
        <r>
          <rPr>
            <sz val="9"/>
            <color indexed="81"/>
            <rFont val="Tahoma"/>
            <family val="2"/>
          </rPr>
          <t xml:space="preserve">
ND por presupuesto
</t>
        </r>
      </text>
    </comment>
    <comment ref="I63" authorId="0" shapeId="0" xr:uid="{00000000-0006-0000-0100-000052000000}">
      <text>
        <r>
          <rPr>
            <b/>
            <sz val="9"/>
            <color indexed="81"/>
            <rFont val="Tahoma"/>
            <family val="2"/>
          </rPr>
          <t>mvargasb:</t>
        </r>
        <r>
          <rPr>
            <sz val="9"/>
            <color indexed="81"/>
            <rFont val="Tahoma"/>
            <family val="2"/>
          </rPr>
          <t xml:space="preserve">
ND por presupuesto
</t>
        </r>
      </text>
    </comment>
    <comment ref="J63" authorId="0" shapeId="0" xr:uid="{00000000-0006-0000-0100-000053000000}">
      <text>
        <r>
          <rPr>
            <b/>
            <sz val="9"/>
            <color indexed="81"/>
            <rFont val="Tahoma"/>
            <family val="2"/>
          </rPr>
          <t>mvargasb:</t>
        </r>
        <r>
          <rPr>
            <sz val="9"/>
            <color indexed="81"/>
            <rFont val="Tahoma"/>
            <family val="2"/>
          </rPr>
          <t xml:space="preserve">
ND por presupuesto
</t>
        </r>
      </text>
    </comment>
    <comment ref="K63" authorId="0" shapeId="0" xr:uid="{00000000-0006-0000-0100-000054000000}">
      <text>
        <r>
          <rPr>
            <b/>
            <sz val="9"/>
            <color indexed="81"/>
            <rFont val="Tahoma"/>
            <family val="2"/>
          </rPr>
          <t>mvargasb:</t>
        </r>
        <r>
          <rPr>
            <sz val="9"/>
            <color indexed="81"/>
            <rFont val="Tahoma"/>
            <family val="2"/>
          </rPr>
          <t xml:space="preserve">
ND por presupuesto
</t>
        </r>
      </text>
    </comment>
    <comment ref="C65" authorId="0" shapeId="0" xr:uid="{00000000-0006-0000-0100-000055000000}">
      <text>
        <r>
          <rPr>
            <b/>
            <sz val="9"/>
            <color indexed="81"/>
            <rFont val="Tahoma"/>
            <family val="2"/>
          </rPr>
          <t>mvargasb:</t>
        </r>
        <r>
          <rPr>
            <sz val="9"/>
            <color indexed="81"/>
            <rFont val="Tahoma"/>
            <family val="2"/>
          </rPr>
          <t xml:space="preserve">
ND por presupuesto
</t>
        </r>
      </text>
    </comment>
    <comment ref="D65" authorId="0" shapeId="0" xr:uid="{00000000-0006-0000-0100-000056000000}">
      <text>
        <r>
          <rPr>
            <b/>
            <sz val="9"/>
            <color indexed="81"/>
            <rFont val="Tahoma"/>
            <family val="2"/>
          </rPr>
          <t>mvargasb:</t>
        </r>
        <r>
          <rPr>
            <sz val="9"/>
            <color indexed="81"/>
            <rFont val="Tahoma"/>
            <family val="2"/>
          </rPr>
          <t xml:space="preserve">
ND por presupuesto
</t>
        </r>
      </text>
    </comment>
    <comment ref="E65" authorId="0" shapeId="0" xr:uid="{00000000-0006-0000-0100-000057000000}">
      <text>
        <r>
          <rPr>
            <b/>
            <sz val="9"/>
            <color indexed="81"/>
            <rFont val="Tahoma"/>
            <family val="2"/>
          </rPr>
          <t>mvargasb:</t>
        </r>
        <r>
          <rPr>
            <sz val="9"/>
            <color indexed="81"/>
            <rFont val="Tahoma"/>
            <family val="2"/>
          </rPr>
          <t xml:space="preserve">
ND por presupuesto
</t>
        </r>
      </text>
    </comment>
    <comment ref="F65" authorId="0" shapeId="0" xr:uid="{00000000-0006-0000-0100-000058000000}">
      <text>
        <r>
          <rPr>
            <b/>
            <sz val="9"/>
            <color indexed="81"/>
            <rFont val="Tahoma"/>
            <family val="2"/>
          </rPr>
          <t>mvargasb:</t>
        </r>
        <r>
          <rPr>
            <sz val="9"/>
            <color indexed="81"/>
            <rFont val="Tahoma"/>
            <family val="2"/>
          </rPr>
          <t xml:space="preserve">
ND por presupuesto
</t>
        </r>
      </text>
    </comment>
    <comment ref="G65" authorId="0" shapeId="0" xr:uid="{00000000-0006-0000-0100-000059000000}">
      <text>
        <r>
          <rPr>
            <b/>
            <sz val="9"/>
            <color indexed="81"/>
            <rFont val="Tahoma"/>
            <family val="2"/>
          </rPr>
          <t>mvargasb:</t>
        </r>
        <r>
          <rPr>
            <sz val="9"/>
            <color indexed="81"/>
            <rFont val="Tahoma"/>
            <family val="2"/>
          </rPr>
          <t xml:space="preserve">
ND por presupuesto
</t>
        </r>
      </text>
    </comment>
    <comment ref="H65" authorId="0" shapeId="0" xr:uid="{00000000-0006-0000-0100-00005A000000}">
      <text>
        <r>
          <rPr>
            <b/>
            <sz val="9"/>
            <color indexed="81"/>
            <rFont val="Tahoma"/>
            <family val="2"/>
          </rPr>
          <t>mvargasb:</t>
        </r>
        <r>
          <rPr>
            <sz val="9"/>
            <color indexed="81"/>
            <rFont val="Tahoma"/>
            <family val="2"/>
          </rPr>
          <t xml:space="preserve">
ND por presupuesto
</t>
        </r>
      </text>
    </comment>
    <comment ref="I65" authorId="0" shapeId="0" xr:uid="{00000000-0006-0000-0100-00005B000000}">
      <text>
        <r>
          <rPr>
            <b/>
            <sz val="9"/>
            <color indexed="81"/>
            <rFont val="Tahoma"/>
            <family val="2"/>
          </rPr>
          <t>mvargasb:</t>
        </r>
        <r>
          <rPr>
            <sz val="9"/>
            <color indexed="81"/>
            <rFont val="Tahoma"/>
            <family val="2"/>
          </rPr>
          <t xml:space="preserve">
ND por presupuesto
</t>
        </r>
      </text>
    </comment>
    <comment ref="J65" authorId="0" shapeId="0" xr:uid="{00000000-0006-0000-0100-00005C000000}">
      <text>
        <r>
          <rPr>
            <b/>
            <sz val="9"/>
            <color indexed="81"/>
            <rFont val="Tahoma"/>
            <family val="2"/>
          </rPr>
          <t>mvargasb:</t>
        </r>
        <r>
          <rPr>
            <sz val="9"/>
            <color indexed="81"/>
            <rFont val="Tahoma"/>
            <family val="2"/>
          </rPr>
          <t xml:space="preserve">
ND por presupuesto
</t>
        </r>
      </text>
    </comment>
    <comment ref="K65" authorId="0" shapeId="0" xr:uid="{00000000-0006-0000-0100-00005D000000}">
      <text>
        <r>
          <rPr>
            <b/>
            <sz val="9"/>
            <color indexed="81"/>
            <rFont val="Tahoma"/>
            <family val="2"/>
          </rPr>
          <t>mvargasb:</t>
        </r>
        <r>
          <rPr>
            <sz val="9"/>
            <color indexed="81"/>
            <rFont val="Tahoma"/>
            <family val="2"/>
          </rPr>
          <t xml:space="preserve">
ND por presupuesto
</t>
        </r>
      </text>
    </comment>
    <comment ref="C67" authorId="0" shapeId="0" xr:uid="{00000000-0006-0000-0100-00005E000000}">
      <text>
        <r>
          <rPr>
            <b/>
            <sz val="9"/>
            <color indexed="81"/>
            <rFont val="Tahoma"/>
            <family val="2"/>
          </rPr>
          <t>mvargasb:</t>
        </r>
        <r>
          <rPr>
            <sz val="9"/>
            <color indexed="81"/>
            <rFont val="Tahoma"/>
            <family val="2"/>
          </rPr>
          <t xml:space="preserve">
ND por presupuesto
</t>
        </r>
      </text>
    </comment>
    <comment ref="D67" authorId="0" shapeId="0" xr:uid="{00000000-0006-0000-0100-00005F000000}">
      <text>
        <r>
          <rPr>
            <b/>
            <sz val="9"/>
            <color indexed="81"/>
            <rFont val="Tahoma"/>
            <family val="2"/>
          </rPr>
          <t>mvargasb:</t>
        </r>
        <r>
          <rPr>
            <sz val="9"/>
            <color indexed="81"/>
            <rFont val="Tahoma"/>
            <family val="2"/>
          </rPr>
          <t xml:space="preserve">
ND por presupuesto
</t>
        </r>
      </text>
    </comment>
    <comment ref="E67" authorId="0" shapeId="0" xr:uid="{00000000-0006-0000-0100-000060000000}">
      <text>
        <r>
          <rPr>
            <b/>
            <sz val="9"/>
            <color indexed="81"/>
            <rFont val="Tahoma"/>
            <family val="2"/>
          </rPr>
          <t>mvargasb:</t>
        </r>
        <r>
          <rPr>
            <sz val="9"/>
            <color indexed="81"/>
            <rFont val="Tahoma"/>
            <family val="2"/>
          </rPr>
          <t xml:space="preserve">
ND por presupuesto
</t>
        </r>
      </text>
    </comment>
    <comment ref="F67" authorId="0" shapeId="0" xr:uid="{00000000-0006-0000-0100-000061000000}">
      <text>
        <r>
          <rPr>
            <b/>
            <sz val="9"/>
            <color indexed="81"/>
            <rFont val="Tahoma"/>
            <family val="2"/>
          </rPr>
          <t>mvargasb:</t>
        </r>
        <r>
          <rPr>
            <sz val="9"/>
            <color indexed="81"/>
            <rFont val="Tahoma"/>
            <family val="2"/>
          </rPr>
          <t xml:space="preserve">
ND por presupuesto
</t>
        </r>
      </text>
    </comment>
    <comment ref="G67" authorId="0" shapeId="0" xr:uid="{00000000-0006-0000-0100-000062000000}">
      <text>
        <r>
          <rPr>
            <b/>
            <sz val="9"/>
            <color indexed="81"/>
            <rFont val="Tahoma"/>
            <family val="2"/>
          </rPr>
          <t>mvargasb:</t>
        </r>
        <r>
          <rPr>
            <sz val="9"/>
            <color indexed="81"/>
            <rFont val="Tahoma"/>
            <family val="2"/>
          </rPr>
          <t xml:space="preserve">
ND por presupuesto
</t>
        </r>
      </text>
    </comment>
    <comment ref="H67" authorId="0" shapeId="0" xr:uid="{00000000-0006-0000-0100-000063000000}">
      <text>
        <r>
          <rPr>
            <b/>
            <sz val="9"/>
            <color indexed="81"/>
            <rFont val="Tahoma"/>
            <family val="2"/>
          </rPr>
          <t>mvargasb:</t>
        </r>
        <r>
          <rPr>
            <sz val="9"/>
            <color indexed="81"/>
            <rFont val="Tahoma"/>
            <family val="2"/>
          </rPr>
          <t xml:space="preserve">
ND por presupuesto
</t>
        </r>
      </text>
    </comment>
    <comment ref="I67" authorId="0" shapeId="0" xr:uid="{00000000-0006-0000-0100-000064000000}">
      <text>
        <r>
          <rPr>
            <b/>
            <sz val="9"/>
            <color indexed="81"/>
            <rFont val="Tahoma"/>
            <family val="2"/>
          </rPr>
          <t>mvargasb:</t>
        </r>
        <r>
          <rPr>
            <sz val="9"/>
            <color indexed="81"/>
            <rFont val="Tahoma"/>
            <family val="2"/>
          </rPr>
          <t xml:space="preserve">
ND por presupuesto
</t>
        </r>
      </text>
    </comment>
    <comment ref="J67" authorId="0" shapeId="0" xr:uid="{00000000-0006-0000-0100-000065000000}">
      <text>
        <r>
          <rPr>
            <b/>
            <sz val="9"/>
            <color indexed="81"/>
            <rFont val="Tahoma"/>
            <family val="2"/>
          </rPr>
          <t>mvargasb:</t>
        </r>
        <r>
          <rPr>
            <sz val="9"/>
            <color indexed="81"/>
            <rFont val="Tahoma"/>
            <family val="2"/>
          </rPr>
          <t xml:space="preserve">
ND por presupuesto
</t>
        </r>
      </text>
    </comment>
    <comment ref="K67" authorId="0" shapeId="0" xr:uid="{00000000-0006-0000-0100-000066000000}">
      <text>
        <r>
          <rPr>
            <b/>
            <sz val="9"/>
            <color indexed="81"/>
            <rFont val="Tahoma"/>
            <family val="2"/>
          </rPr>
          <t>mvargasb:</t>
        </r>
        <r>
          <rPr>
            <sz val="9"/>
            <color indexed="81"/>
            <rFont val="Tahoma"/>
            <family val="2"/>
          </rPr>
          <t xml:space="preserve">
ND por presupuesto
</t>
        </r>
      </text>
    </comment>
    <comment ref="C69" authorId="0" shapeId="0" xr:uid="{00000000-0006-0000-0100-000067000000}">
      <text>
        <r>
          <rPr>
            <b/>
            <sz val="9"/>
            <color indexed="81"/>
            <rFont val="Tahoma"/>
            <family val="2"/>
          </rPr>
          <t>mvargasb:</t>
        </r>
        <r>
          <rPr>
            <sz val="9"/>
            <color indexed="81"/>
            <rFont val="Tahoma"/>
            <family val="2"/>
          </rPr>
          <t xml:space="preserve">
ND por presupuesto
</t>
        </r>
      </text>
    </comment>
    <comment ref="D69" authorId="0" shapeId="0" xr:uid="{00000000-0006-0000-0100-000068000000}">
      <text>
        <r>
          <rPr>
            <b/>
            <sz val="9"/>
            <color indexed="81"/>
            <rFont val="Tahoma"/>
            <family val="2"/>
          </rPr>
          <t>mvargasb:</t>
        </r>
        <r>
          <rPr>
            <sz val="9"/>
            <color indexed="81"/>
            <rFont val="Tahoma"/>
            <family val="2"/>
          </rPr>
          <t xml:space="preserve">
ND por presupuesto
</t>
        </r>
      </text>
    </comment>
    <comment ref="E69" authorId="0" shapeId="0" xr:uid="{00000000-0006-0000-0100-000069000000}">
      <text>
        <r>
          <rPr>
            <b/>
            <sz val="9"/>
            <color indexed="81"/>
            <rFont val="Tahoma"/>
            <family val="2"/>
          </rPr>
          <t>mvargasb:</t>
        </r>
        <r>
          <rPr>
            <sz val="9"/>
            <color indexed="81"/>
            <rFont val="Tahoma"/>
            <family val="2"/>
          </rPr>
          <t xml:space="preserve">
ND por presupuesto
</t>
        </r>
      </text>
    </comment>
    <comment ref="F69" authorId="0" shapeId="0" xr:uid="{00000000-0006-0000-0100-00006A000000}">
      <text>
        <r>
          <rPr>
            <b/>
            <sz val="9"/>
            <color indexed="81"/>
            <rFont val="Tahoma"/>
            <family val="2"/>
          </rPr>
          <t>mvargasb:</t>
        </r>
        <r>
          <rPr>
            <sz val="9"/>
            <color indexed="81"/>
            <rFont val="Tahoma"/>
            <family val="2"/>
          </rPr>
          <t xml:space="preserve">
ND por presupuesto
</t>
        </r>
      </text>
    </comment>
    <comment ref="G69" authorId="0" shapeId="0" xr:uid="{00000000-0006-0000-0100-00006B000000}">
      <text>
        <r>
          <rPr>
            <b/>
            <sz val="9"/>
            <color indexed="81"/>
            <rFont val="Tahoma"/>
            <family val="2"/>
          </rPr>
          <t>mvargasb:</t>
        </r>
        <r>
          <rPr>
            <sz val="9"/>
            <color indexed="81"/>
            <rFont val="Tahoma"/>
            <family val="2"/>
          </rPr>
          <t xml:space="preserve">
ND por presupuesto
</t>
        </r>
      </text>
    </comment>
    <comment ref="H69" authorId="0" shapeId="0" xr:uid="{00000000-0006-0000-0100-00006C000000}">
      <text>
        <r>
          <rPr>
            <b/>
            <sz val="9"/>
            <color indexed="81"/>
            <rFont val="Tahoma"/>
            <family val="2"/>
          </rPr>
          <t>mvargasb:</t>
        </r>
        <r>
          <rPr>
            <sz val="9"/>
            <color indexed="81"/>
            <rFont val="Tahoma"/>
            <family val="2"/>
          </rPr>
          <t xml:space="preserve">
ND por presupuesto
</t>
        </r>
      </text>
    </comment>
    <comment ref="I69" authorId="0" shapeId="0" xr:uid="{00000000-0006-0000-0100-00006D000000}">
      <text>
        <r>
          <rPr>
            <b/>
            <sz val="9"/>
            <color indexed="81"/>
            <rFont val="Tahoma"/>
            <family val="2"/>
          </rPr>
          <t>mvargasb:</t>
        </r>
        <r>
          <rPr>
            <sz val="9"/>
            <color indexed="81"/>
            <rFont val="Tahoma"/>
            <family val="2"/>
          </rPr>
          <t xml:space="preserve">
ND por presupuesto
</t>
        </r>
      </text>
    </comment>
    <comment ref="J69" authorId="0" shapeId="0" xr:uid="{00000000-0006-0000-0100-00006E000000}">
      <text>
        <r>
          <rPr>
            <b/>
            <sz val="9"/>
            <color indexed="81"/>
            <rFont val="Tahoma"/>
            <family val="2"/>
          </rPr>
          <t>mvargasb:</t>
        </r>
        <r>
          <rPr>
            <sz val="9"/>
            <color indexed="81"/>
            <rFont val="Tahoma"/>
            <family val="2"/>
          </rPr>
          <t xml:space="preserve">
ND por presupuesto
</t>
        </r>
      </text>
    </comment>
    <comment ref="K69" authorId="0" shapeId="0" xr:uid="{00000000-0006-0000-0100-00006F000000}">
      <text>
        <r>
          <rPr>
            <b/>
            <sz val="9"/>
            <color indexed="81"/>
            <rFont val="Tahoma"/>
            <family val="2"/>
          </rPr>
          <t>mvargasb:</t>
        </r>
        <r>
          <rPr>
            <sz val="9"/>
            <color indexed="81"/>
            <rFont val="Tahoma"/>
            <family val="2"/>
          </rPr>
          <t xml:space="preserve">
ND por presupuesto
</t>
        </r>
      </text>
    </comment>
    <comment ref="C71" authorId="0" shapeId="0" xr:uid="{00000000-0006-0000-0100-000070000000}">
      <text>
        <r>
          <rPr>
            <b/>
            <sz val="9"/>
            <color indexed="81"/>
            <rFont val="Tahoma"/>
            <family val="2"/>
          </rPr>
          <t>mvargasb:</t>
        </r>
        <r>
          <rPr>
            <sz val="9"/>
            <color indexed="81"/>
            <rFont val="Tahoma"/>
            <family val="2"/>
          </rPr>
          <t xml:space="preserve">
ND por presupuesto
</t>
        </r>
      </text>
    </comment>
    <comment ref="D71" authorId="0" shapeId="0" xr:uid="{00000000-0006-0000-0100-000071000000}">
      <text>
        <r>
          <rPr>
            <b/>
            <sz val="9"/>
            <color indexed="81"/>
            <rFont val="Tahoma"/>
            <family val="2"/>
          </rPr>
          <t>mvargasb:</t>
        </r>
        <r>
          <rPr>
            <sz val="9"/>
            <color indexed="81"/>
            <rFont val="Tahoma"/>
            <family val="2"/>
          </rPr>
          <t xml:space="preserve">
ND por presupuesto
</t>
        </r>
      </text>
    </comment>
    <comment ref="E71" authorId="0" shapeId="0" xr:uid="{00000000-0006-0000-0100-000072000000}">
      <text>
        <r>
          <rPr>
            <b/>
            <sz val="9"/>
            <color indexed="81"/>
            <rFont val="Tahoma"/>
            <family val="2"/>
          </rPr>
          <t>mvargasb:</t>
        </r>
        <r>
          <rPr>
            <sz val="9"/>
            <color indexed="81"/>
            <rFont val="Tahoma"/>
            <family val="2"/>
          </rPr>
          <t xml:space="preserve">
ND por presupuesto
</t>
        </r>
      </text>
    </comment>
    <comment ref="F71" authorId="0" shapeId="0" xr:uid="{00000000-0006-0000-0100-000073000000}">
      <text>
        <r>
          <rPr>
            <b/>
            <sz val="9"/>
            <color indexed="81"/>
            <rFont val="Tahoma"/>
            <family val="2"/>
          </rPr>
          <t>mvargasb:</t>
        </r>
        <r>
          <rPr>
            <sz val="9"/>
            <color indexed="81"/>
            <rFont val="Tahoma"/>
            <family val="2"/>
          </rPr>
          <t xml:space="preserve">
ND por presupuesto
</t>
        </r>
      </text>
    </comment>
    <comment ref="G71" authorId="0" shapeId="0" xr:uid="{00000000-0006-0000-0100-000074000000}">
      <text>
        <r>
          <rPr>
            <b/>
            <sz val="9"/>
            <color indexed="81"/>
            <rFont val="Tahoma"/>
            <family val="2"/>
          </rPr>
          <t>mvargasb:</t>
        </r>
        <r>
          <rPr>
            <sz val="9"/>
            <color indexed="81"/>
            <rFont val="Tahoma"/>
            <family val="2"/>
          </rPr>
          <t xml:space="preserve">
ND por presupuesto
</t>
        </r>
      </text>
    </comment>
    <comment ref="H71" authorId="0" shapeId="0" xr:uid="{00000000-0006-0000-0100-000075000000}">
      <text>
        <r>
          <rPr>
            <b/>
            <sz val="9"/>
            <color indexed="81"/>
            <rFont val="Tahoma"/>
            <family val="2"/>
          </rPr>
          <t>mvargasb:</t>
        </r>
        <r>
          <rPr>
            <sz val="9"/>
            <color indexed="81"/>
            <rFont val="Tahoma"/>
            <family val="2"/>
          </rPr>
          <t xml:space="preserve">
ND por presupuesto
</t>
        </r>
      </text>
    </comment>
    <comment ref="I71" authorId="0" shapeId="0" xr:uid="{00000000-0006-0000-0100-000076000000}">
      <text>
        <r>
          <rPr>
            <b/>
            <sz val="9"/>
            <color indexed="81"/>
            <rFont val="Tahoma"/>
            <family val="2"/>
          </rPr>
          <t>mvargasb:</t>
        </r>
        <r>
          <rPr>
            <sz val="9"/>
            <color indexed="81"/>
            <rFont val="Tahoma"/>
            <family val="2"/>
          </rPr>
          <t xml:space="preserve">
ND por presupuesto
</t>
        </r>
      </text>
    </comment>
    <comment ref="J71" authorId="0" shapeId="0" xr:uid="{00000000-0006-0000-0100-000077000000}">
      <text>
        <r>
          <rPr>
            <b/>
            <sz val="9"/>
            <color indexed="81"/>
            <rFont val="Tahoma"/>
            <family val="2"/>
          </rPr>
          <t>mvargasb:</t>
        </r>
        <r>
          <rPr>
            <sz val="9"/>
            <color indexed="81"/>
            <rFont val="Tahoma"/>
            <family val="2"/>
          </rPr>
          <t xml:space="preserve">
ND por presupuesto
</t>
        </r>
      </text>
    </comment>
    <comment ref="K71" authorId="0" shapeId="0" xr:uid="{00000000-0006-0000-0100-000078000000}">
      <text>
        <r>
          <rPr>
            <b/>
            <sz val="9"/>
            <color indexed="81"/>
            <rFont val="Tahoma"/>
            <family val="2"/>
          </rPr>
          <t>mvargasb:</t>
        </r>
        <r>
          <rPr>
            <sz val="9"/>
            <color indexed="81"/>
            <rFont val="Tahoma"/>
            <family val="2"/>
          </rPr>
          <t xml:space="preserve">
ND por presupuesto
</t>
        </r>
      </text>
    </comment>
    <comment ref="T73" authorId="1" shapeId="0" xr:uid="{D3937DCD-38A0-4AFA-9219-3A431BF32E7A}">
      <text>
        <r>
          <rPr>
            <b/>
            <sz val="9"/>
            <color indexed="81"/>
            <rFont val="Tahoma"/>
            <family val="2"/>
          </rPr>
          <t xml:space="preserve">último año vigente de la serie el 2012
</t>
        </r>
      </text>
    </comment>
    <comment ref="B95" authorId="2" shapeId="0" xr:uid="{4E3DFFA0-E4A6-4946-8F86-28F8B7A8CFA3}">
      <text>
        <r>
          <rPr>
            <sz val="9"/>
            <color indexed="81"/>
            <rFont val="Tahoma"/>
            <family val="2"/>
          </rPr>
          <t>Jueces de todas las instancias</t>
        </r>
      </text>
    </comment>
    <comment ref="C113" authorId="3" shapeId="0" xr:uid="{D18FC52E-A09C-471F-B498-3E673D43966A}">
      <text>
        <r>
          <rPr>
            <b/>
            <sz val="9"/>
            <color indexed="81"/>
            <rFont val="Tahoma"/>
            <family val="2"/>
          </rPr>
          <t>Marlen:</t>
        </r>
        <r>
          <rPr>
            <sz val="9"/>
            <color indexed="81"/>
            <rFont val="Tahoma"/>
            <family val="2"/>
          </rPr>
          <t xml:space="preserve">
no se cuenta con el circulante del OIJ todavía
</t>
        </r>
      </text>
    </comment>
    <comment ref="D113" authorId="3" shapeId="0" xr:uid="{159AF099-1FFC-40A7-B0B7-DAA4B4BF4EBA}">
      <text>
        <r>
          <rPr>
            <b/>
            <sz val="9"/>
            <color indexed="81"/>
            <rFont val="Tahoma"/>
            <family val="2"/>
          </rPr>
          <t>Marlen:</t>
        </r>
        <r>
          <rPr>
            <sz val="9"/>
            <color indexed="81"/>
            <rFont val="Tahoma"/>
            <family val="2"/>
          </rPr>
          <t xml:space="preserve">
no se cuenta con el circulante del OIJ todavía
</t>
        </r>
      </text>
    </comment>
    <comment ref="E113" authorId="3" shapeId="0" xr:uid="{F7366281-FA16-47A0-BBFB-7609BFEC7E49}">
      <text>
        <r>
          <rPr>
            <b/>
            <sz val="9"/>
            <color indexed="81"/>
            <rFont val="Tahoma"/>
            <family val="2"/>
          </rPr>
          <t>Marlen:</t>
        </r>
        <r>
          <rPr>
            <sz val="9"/>
            <color indexed="81"/>
            <rFont val="Tahoma"/>
            <family val="2"/>
          </rPr>
          <t xml:space="preserve">
no se cuenta con el circulante del OIJ todavía
</t>
        </r>
      </text>
    </comment>
    <comment ref="F113" authorId="3" shapeId="0" xr:uid="{E188F0ED-40A6-44B6-8516-31EF00DDF01E}">
      <text>
        <r>
          <rPr>
            <b/>
            <sz val="9"/>
            <color indexed="81"/>
            <rFont val="Tahoma"/>
            <family val="2"/>
          </rPr>
          <t>Marlen:</t>
        </r>
        <r>
          <rPr>
            <sz val="9"/>
            <color indexed="81"/>
            <rFont val="Tahoma"/>
            <family val="2"/>
          </rPr>
          <t xml:space="preserve">
no se cuenta con el circulante del OIJ todavía
</t>
        </r>
      </text>
    </comment>
    <comment ref="G113" authorId="3" shapeId="0" xr:uid="{B7519831-5C6B-4FC6-8EE3-774FF52A575A}">
      <text>
        <r>
          <rPr>
            <b/>
            <sz val="9"/>
            <color indexed="81"/>
            <rFont val="Tahoma"/>
            <family val="2"/>
          </rPr>
          <t>Marlen:</t>
        </r>
        <r>
          <rPr>
            <sz val="9"/>
            <color indexed="81"/>
            <rFont val="Tahoma"/>
            <family val="2"/>
          </rPr>
          <t xml:space="preserve">
no se cuenta con el circulante del OIJ todavía
</t>
        </r>
      </text>
    </comment>
    <comment ref="H113" authorId="3" shapeId="0" xr:uid="{968133B0-462B-4DF3-99BB-80D3DED9C9C5}">
      <text>
        <r>
          <rPr>
            <b/>
            <sz val="9"/>
            <color indexed="81"/>
            <rFont val="Tahoma"/>
            <family val="2"/>
          </rPr>
          <t>Marlen:</t>
        </r>
        <r>
          <rPr>
            <sz val="9"/>
            <color indexed="81"/>
            <rFont val="Tahoma"/>
            <family val="2"/>
          </rPr>
          <t xml:space="preserve">
no se cuenta con el circulante del OIJ todavía
</t>
        </r>
      </text>
    </comment>
    <comment ref="I113" authorId="3" shapeId="0" xr:uid="{B8D3D698-EE05-47F5-AECD-A22C9CB1CA79}">
      <text>
        <r>
          <rPr>
            <b/>
            <sz val="9"/>
            <color indexed="81"/>
            <rFont val="Tahoma"/>
            <family val="2"/>
          </rPr>
          <t>Marlen:</t>
        </r>
        <r>
          <rPr>
            <sz val="9"/>
            <color indexed="81"/>
            <rFont val="Tahoma"/>
            <family val="2"/>
          </rPr>
          <t xml:space="preserve">
no se cuenta con el circulante del OIJ todavía
</t>
        </r>
      </text>
    </comment>
    <comment ref="J113" authorId="3" shapeId="0" xr:uid="{56A61CB4-47FA-432D-B852-9CE18D280F3D}">
      <text>
        <r>
          <rPr>
            <b/>
            <sz val="9"/>
            <color indexed="81"/>
            <rFont val="Tahoma"/>
            <family val="2"/>
          </rPr>
          <t>Marlen:</t>
        </r>
        <r>
          <rPr>
            <sz val="9"/>
            <color indexed="81"/>
            <rFont val="Tahoma"/>
            <family val="2"/>
          </rPr>
          <t xml:space="preserve">
no se cuenta con el circulante del OIJ todavía
</t>
        </r>
      </text>
    </comment>
    <comment ref="K113" authorId="3" shapeId="0" xr:uid="{B2B2F612-D281-42FE-A9E9-BD188A984B31}">
      <text>
        <r>
          <rPr>
            <b/>
            <sz val="9"/>
            <color indexed="81"/>
            <rFont val="Tahoma"/>
            <family val="2"/>
          </rPr>
          <t>Marlen:</t>
        </r>
        <r>
          <rPr>
            <sz val="9"/>
            <color indexed="81"/>
            <rFont val="Tahoma"/>
            <family val="2"/>
          </rPr>
          <t xml:space="preserve">
no se cuenta con el circulante del OIJ todavía
</t>
        </r>
      </text>
    </comment>
    <comment ref="L113" authorId="3" shapeId="0" xr:uid="{4BF57B8C-622B-4F1B-A1BD-A11761AC9FAD}">
      <text>
        <r>
          <rPr>
            <b/>
            <sz val="9"/>
            <color indexed="81"/>
            <rFont val="Tahoma"/>
            <family val="2"/>
          </rPr>
          <t>Marlen:</t>
        </r>
        <r>
          <rPr>
            <sz val="9"/>
            <color indexed="81"/>
            <rFont val="Tahoma"/>
            <family val="2"/>
          </rPr>
          <t xml:space="preserve">
no se cuenta con el circulante del OIJ todavía
</t>
        </r>
      </text>
    </comment>
    <comment ref="M113" authorId="3" shapeId="0" xr:uid="{8F193FB3-24C3-4AD3-9142-53A952443600}">
      <text>
        <r>
          <rPr>
            <b/>
            <sz val="9"/>
            <color indexed="81"/>
            <rFont val="Tahoma"/>
            <family val="2"/>
          </rPr>
          <t>Marlen:</t>
        </r>
        <r>
          <rPr>
            <sz val="9"/>
            <color indexed="81"/>
            <rFont val="Tahoma"/>
            <family val="2"/>
          </rPr>
          <t xml:space="preserve">
no se cuenta con el circulante del OIJ todavía
</t>
        </r>
      </text>
    </comment>
    <comment ref="N113" authorId="3" shapeId="0" xr:uid="{5BAC84AC-3960-46C6-8ED5-7D75A16B5F32}">
      <text>
        <r>
          <rPr>
            <b/>
            <sz val="9"/>
            <color indexed="81"/>
            <rFont val="Tahoma"/>
            <family val="2"/>
          </rPr>
          <t>Marlen:</t>
        </r>
        <r>
          <rPr>
            <sz val="9"/>
            <color indexed="81"/>
            <rFont val="Tahoma"/>
            <family val="2"/>
          </rPr>
          <t xml:space="preserve">
no se cuenta con el circulante del OIJ todavía
</t>
        </r>
      </text>
    </comment>
    <comment ref="O113" authorId="3" shapeId="0" xr:uid="{A039120A-D38E-4282-8CA8-6812A51B10BB}">
      <text>
        <r>
          <rPr>
            <b/>
            <sz val="9"/>
            <color indexed="81"/>
            <rFont val="Tahoma"/>
            <family val="2"/>
          </rPr>
          <t>Marlen:</t>
        </r>
        <r>
          <rPr>
            <sz val="9"/>
            <color indexed="81"/>
            <rFont val="Tahoma"/>
            <family val="2"/>
          </rPr>
          <t xml:space="preserve">
no se cuenta con el circulante del OIJ todavía
</t>
        </r>
      </text>
    </comment>
    <comment ref="P113" authorId="3" shapeId="0" xr:uid="{23072026-9833-4F8F-B833-CBE709FB91FF}">
      <text>
        <r>
          <rPr>
            <b/>
            <sz val="9"/>
            <color indexed="81"/>
            <rFont val="Tahoma"/>
            <family val="2"/>
          </rPr>
          <t>Marlen:</t>
        </r>
        <r>
          <rPr>
            <sz val="9"/>
            <color indexed="81"/>
            <rFont val="Tahoma"/>
            <family val="2"/>
          </rPr>
          <t xml:space="preserve">
no se cuenta con el circulante del OIJ todavía
</t>
        </r>
      </text>
    </comment>
    <comment ref="Q113" authorId="3" shapeId="0" xr:uid="{0A734BF9-BBBA-4725-813A-06AA37820297}">
      <text>
        <r>
          <rPr>
            <b/>
            <sz val="9"/>
            <color indexed="81"/>
            <rFont val="Tahoma"/>
            <family val="2"/>
          </rPr>
          <t>Marlen:</t>
        </r>
        <r>
          <rPr>
            <sz val="9"/>
            <color indexed="81"/>
            <rFont val="Tahoma"/>
            <family val="2"/>
          </rPr>
          <t xml:space="preserve">
no se cuenta con el circulante del OIJ todavía
</t>
        </r>
      </text>
    </comment>
    <comment ref="R113" authorId="3" shapeId="0" xr:uid="{3D142C46-3F1A-4BC6-9424-E9B5C647246A}">
      <text>
        <r>
          <rPr>
            <b/>
            <sz val="9"/>
            <color indexed="81"/>
            <rFont val="Tahoma"/>
            <family val="2"/>
          </rPr>
          <t>Marlen:</t>
        </r>
        <r>
          <rPr>
            <sz val="9"/>
            <color indexed="81"/>
            <rFont val="Tahoma"/>
            <family val="2"/>
          </rPr>
          <t xml:space="preserve">
no se cuenta con el circulante del OIJ todavía
</t>
        </r>
      </text>
    </comment>
    <comment ref="S113" authorId="3" shapeId="0" xr:uid="{6B7BAE46-D619-426A-9E23-D1BC62CB020C}">
      <text>
        <r>
          <rPr>
            <b/>
            <sz val="9"/>
            <color indexed="81"/>
            <rFont val="Tahoma"/>
            <family val="2"/>
          </rPr>
          <t>Marlen:</t>
        </r>
        <r>
          <rPr>
            <sz val="9"/>
            <color indexed="81"/>
            <rFont val="Tahoma"/>
            <family val="2"/>
          </rPr>
          <t xml:space="preserve">
no se cuenta con el circulante del OIJ todavía
</t>
        </r>
      </text>
    </comment>
    <comment ref="T113" authorId="3" shapeId="0" xr:uid="{BCE9D454-167D-4AEF-9D9A-7F2E3CD749B9}">
      <text>
        <r>
          <rPr>
            <b/>
            <sz val="9"/>
            <color indexed="81"/>
            <rFont val="Tahoma"/>
            <family val="2"/>
          </rPr>
          <t>Marlen:</t>
        </r>
        <r>
          <rPr>
            <sz val="9"/>
            <color indexed="81"/>
            <rFont val="Tahoma"/>
            <family val="2"/>
          </rPr>
          <t xml:space="preserve">
no se cuenta con el circulante del OIJ todavía
</t>
        </r>
      </text>
    </comment>
    <comment ref="U113" authorId="3" shapeId="0" xr:uid="{6EBBAC05-C39F-4D0A-AC0C-CF34C89015CF}">
      <text>
        <r>
          <rPr>
            <b/>
            <sz val="9"/>
            <color indexed="81"/>
            <rFont val="Tahoma"/>
            <family val="2"/>
          </rPr>
          <t>Marlen:</t>
        </r>
        <r>
          <rPr>
            <sz val="9"/>
            <color indexed="81"/>
            <rFont val="Tahoma"/>
            <family val="2"/>
          </rPr>
          <t xml:space="preserve">
no se cuenta con el circulante del OIJ todavía
</t>
        </r>
      </text>
    </comment>
    <comment ref="V113" authorId="3" shapeId="0" xr:uid="{054056BB-742F-451E-97E5-A24742BE391B}">
      <text>
        <r>
          <rPr>
            <b/>
            <sz val="9"/>
            <color indexed="81"/>
            <rFont val="Tahoma"/>
            <family val="2"/>
          </rPr>
          <t>Marlen:</t>
        </r>
        <r>
          <rPr>
            <sz val="9"/>
            <color indexed="81"/>
            <rFont val="Tahoma"/>
            <family val="2"/>
          </rPr>
          <t xml:space="preserve">
no se cuenta con el circulante del OIJ todavía
</t>
        </r>
      </text>
    </comment>
    <comment ref="B114" authorId="1" shapeId="0" xr:uid="{6D4FD0DC-3165-43E1-94BB-DAFDEFF1D6A9}">
      <text>
        <r>
          <rPr>
            <b/>
            <sz val="9"/>
            <color indexed="81"/>
            <rFont val="Tahoma"/>
            <family val="2"/>
          </rPr>
          <t>Marlen Vargas Benavides:</t>
        </r>
        <r>
          <rPr>
            <sz val="9"/>
            <color indexed="81"/>
            <rFont val="Tahoma"/>
            <family val="2"/>
          </rPr>
          <t xml:space="preserve">
esta debe tomar en cuenta todo, incluyendo el MP
</t>
        </r>
      </text>
    </comment>
    <comment ref="C114" authorId="3" shapeId="0" xr:uid="{4F7571F5-85E2-416E-9F6D-CC120559B435}">
      <text>
        <r>
          <rPr>
            <b/>
            <sz val="9"/>
            <color indexed="81"/>
            <rFont val="Tahoma"/>
            <family val="2"/>
          </rPr>
          <t>Marlen:</t>
        </r>
        <r>
          <rPr>
            <sz val="9"/>
            <color indexed="81"/>
            <rFont val="Tahoma"/>
            <family val="2"/>
          </rPr>
          <t xml:space="preserve">
no se cuenta con el circulante del OIJ todavía
</t>
        </r>
      </text>
    </comment>
    <comment ref="D114" authorId="3" shapeId="0" xr:uid="{E119CBDD-E771-40CC-9E65-20DF250A8B73}">
      <text>
        <r>
          <rPr>
            <b/>
            <sz val="9"/>
            <color indexed="81"/>
            <rFont val="Tahoma"/>
            <family val="2"/>
          </rPr>
          <t>Marlen:</t>
        </r>
        <r>
          <rPr>
            <sz val="9"/>
            <color indexed="81"/>
            <rFont val="Tahoma"/>
            <family val="2"/>
          </rPr>
          <t xml:space="preserve">
no se cuenta con el circulante del OIJ todavía
</t>
        </r>
      </text>
    </comment>
    <comment ref="E114" authorId="3" shapeId="0" xr:uid="{783DE91C-152D-462A-91AF-032087179ABC}">
      <text>
        <r>
          <rPr>
            <b/>
            <sz val="9"/>
            <color indexed="81"/>
            <rFont val="Tahoma"/>
            <family val="2"/>
          </rPr>
          <t>Marlen:</t>
        </r>
        <r>
          <rPr>
            <sz val="9"/>
            <color indexed="81"/>
            <rFont val="Tahoma"/>
            <family val="2"/>
          </rPr>
          <t xml:space="preserve">
no se cuenta con el circulante del OIJ todavía
</t>
        </r>
      </text>
    </comment>
    <comment ref="F114" authorId="3" shapeId="0" xr:uid="{4164EA01-2E5E-439D-895F-BFA1D380B6F4}">
      <text>
        <r>
          <rPr>
            <b/>
            <sz val="9"/>
            <color indexed="81"/>
            <rFont val="Tahoma"/>
            <family val="2"/>
          </rPr>
          <t>Marlen:</t>
        </r>
        <r>
          <rPr>
            <sz val="9"/>
            <color indexed="81"/>
            <rFont val="Tahoma"/>
            <family val="2"/>
          </rPr>
          <t xml:space="preserve">
no se cuenta con el circulante del OIJ todavía
</t>
        </r>
      </text>
    </comment>
    <comment ref="G114" authorId="3" shapeId="0" xr:uid="{11AF0DC5-3528-41C0-9CE5-D9A4E949BFC5}">
      <text>
        <r>
          <rPr>
            <b/>
            <sz val="9"/>
            <color indexed="81"/>
            <rFont val="Tahoma"/>
            <family val="2"/>
          </rPr>
          <t>Marlen:</t>
        </r>
        <r>
          <rPr>
            <sz val="9"/>
            <color indexed="81"/>
            <rFont val="Tahoma"/>
            <family val="2"/>
          </rPr>
          <t xml:space="preserve">
no se cuenta con el circulante del OIJ todavía
</t>
        </r>
      </text>
    </comment>
    <comment ref="H114" authorId="3" shapeId="0" xr:uid="{BC853834-C872-4C7E-B156-301B93D47358}">
      <text>
        <r>
          <rPr>
            <b/>
            <sz val="9"/>
            <color indexed="81"/>
            <rFont val="Tahoma"/>
            <family val="2"/>
          </rPr>
          <t>Marlen:</t>
        </r>
        <r>
          <rPr>
            <sz val="9"/>
            <color indexed="81"/>
            <rFont val="Tahoma"/>
            <family val="2"/>
          </rPr>
          <t xml:space="preserve">
no se cuenta con el circulante del OIJ todavía
</t>
        </r>
      </text>
    </comment>
    <comment ref="I114" authorId="3" shapeId="0" xr:uid="{DFBC2ADD-F302-4C9F-94E2-157189829D67}">
      <text>
        <r>
          <rPr>
            <b/>
            <sz val="9"/>
            <color indexed="81"/>
            <rFont val="Tahoma"/>
            <family val="2"/>
          </rPr>
          <t>Marlen:</t>
        </r>
        <r>
          <rPr>
            <sz val="9"/>
            <color indexed="81"/>
            <rFont val="Tahoma"/>
            <family val="2"/>
          </rPr>
          <t xml:space="preserve">
no se cuenta con el circulante del OIJ todavía
</t>
        </r>
      </text>
    </comment>
    <comment ref="J114" authorId="3" shapeId="0" xr:uid="{28FEAC73-F690-4C1B-B4BE-83C685A264FE}">
      <text>
        <r>
          <rPr>
            <b/>
            <sz val="9"/>
            <color indexed="81"/>
            <rFont val="Tahoma"/>
            <family val="2"/>
          </rPr>
          <t>Marlen:</t>
        </r>
        <r>
          <rPr>
            <sz val="9"/>
            <color indexed="81"/>
            <rFont val="Tahoma"/>
            <family val="2"/>
          </rPr>
          <t xml:space="preserve">
no se cuenta con el circulante del OIJ todavía
</t>
        </r>
      </text>
    </comment>
    <comment ref="K114" authorId="3" shapeId="0" xr:uid="{BC4ECA68-F641-4537-8EF4-42099FF220C3}">
      <text>
        <r>
          <rPr>
            <b/>
            <sz val="9"/>
            <color indexed="81"/>
            <rFont val="Tahoma"/>
            <family val="2"/>
          </rPr>
          <t>Marlen:</t>
        </r>
        <r>
          <rPr>
            <sz val="9"/>
            <color indexed="81"/>
            <rFont val="Tahoma"/>
            <family val="2"/>
          </rPr>
          <t xml:space="preserve">
no se cuenta con el circulante del OIJ todavía
</t>
        </r>
      </text>
    </comment>
    <comment ref="L114" authorId="3" shapeId="0" xr:uid="{6CC1A8E9-6A48-49AE-9699-4FD46574D1A3}">
      <text>
        <r>
          <rPr>
            <b/>
            <sz val="9"/>
            <color indexed="81"/>
            <rFont val="Tahoma"/>
            <family val="2"/>
          </rPr>
          <t>Marlen:</t>
        </r>
        <r>
          <rPr>
            <sz val="9"/>
            <color indexed="81"/>
            <rFont val="Tahoma"/>
            <family val="2"/>
          </rPr>
          <t xml:space="preserve">
no se cuenta con el circulante del OIJ todavía
</t>
        </r>
      </text>
    </comment>
    <comment ref="M114" authorId="3" shapeId="0" xr:uid="{A024C7B4-2DA8-4F9B-B862-6CF05FEFEFB6}">
      <text>
        <r>
          <rPr>
            <b/>
            <sz val="9"/>
            <color indexed="81"/>
            <rFont val="Tahoma"/>
            <family val="2"/>
          </rPr>
          <t>Marlen:</t>
        </r>
        <r>
          <rPr>
            <sz val="9"/>
            <color indexed="81"/>
            <rFont val="Tahoma"/>
            <family val="2"/>
          </rPr>
          <t xml:space="preserve">
no se cuenta con el circulante del OIJ todavía
</t>
        </r>
      </text>
    </comment>
    <comment ref="N114" authorId="3" shapeId="0" xr:uid="{8FF6EF83-5281-4071-B6F8-4D5D5576719C}">
      <text>
        <r>
          <rPr>
            <b/>
            <sz val="9"/>
            <color indexed="81"/>
            <rFont val="Tahoma"/>
            <family val="2"/>
          </rPr>
          <t>Marlen:</t>
        </r>
        <r>
          <rPr>
            <sz val="9"/>
            <color indexed="81"/>
            <rFont val="Tahoma"/>
            <family val="2"/>
          </rPr>
          <t xml:space="preserve">
no se cuenta con el circulante del OIJ todavía
</t>
        </r>
      </text>
    </comment>
    <comment ref="O114" authorId="3" shapeId="0" xr:uid="{7C3FCCFB-D284-4AB7-A910-AD3688B79803}">
      <text>
        <r>
          <rPr>
            <b/>
            <sz val="9"/>
            <color indexed="81"/>
            <rFont val="Tahoma"/>
            <family val="2"/>
          </rPr>
          <t>Marlen:</t>
        </r>
        <r>
          <rPr>
            <sz val="9"/>
            <color indexed="81"/>
            <rFont val="Tahoma"/>
            <family val="2"/>
          </rPr>
          <t xml:space="preserve">
no se cuenta con el circulante del OIJ todavía
</t>
        </r>
      </text>
    </comment>
    <comment ref="P114" authorId="3" shapeId="0" xr:uid="{89E0FE1D-2790-479F-B2BD-BA4DD5D417F0}">
      <text>
        <r>
          <rPr>
            <b/>
            <sz val="9"/>
            <color indexed="81"/>
            <rFont val="Tahoma"/>
            <family val="2"/>
          </rPr>
          <t>Marlen:</t>
        </r>
        <r>
          <rPr>
            <sz val="9"/>
            <color indexed="81"/>
            <rFont val="Tahoma"/>
            <family val="2"/>
          </rPr>
          <t xml:space="preserve">
no se cuenta con el circulante del OIJ todavía
</t>
        </r>
      </text>
    </comment>
    <comment ref="Q114" authorId="3" shapeId="0" xr:uid="{1772954A-84FF-4C8F-8B89-9B22BFB4384F}">
      <text>
        <r>
          <rPr>
            <b/>
            <sz val="9"/>
            <color indexed="81"/>
            <rFont val="Tahoma"/>
            <family val="2"/>
          </rPr>
          <t>Marlen:</t>
        </r>
        <r>
          <rPr>
            <sz val="9"/>
            <color indexed="81"/>
            <rFont val="Tahoma"/>
            <family val="2"/>
          </rPr>
          <t xml:space="preserve">
no se cuenta con el circulante del OIJ todavía
</t>
        </r>
      </text>
    </comment>
    <comment ref="R114" authorId="3" shapeId="0" xr:uid="{F612081C-6A0B-4610-89AD-E96CCF908F5C}">
      <text>
        <r>
          <rPr>
            <b/>
            <sz val="9"/>
            <color indexed="81"/>
            <rFont val="Tahoma"/>
            <family val="2"/>
          </rPr>
          <t>Marlen:</t>
        </r>
        <r>
          <rPr>
            <sz val="9"/>
            <color indexed="81"/>
            <rFont val="Tahoma"/>
            <family val="2"/>
          </rPr>
          <t xml:space="preserve">
no se cuenta con el circulante del OIJ todavía
</t>
        </r>
      </text>
    </comment>
    <comment ref="S114" authorId="3" shapeId="0" xr:uid="{39CF52E2-DB99-4CAD-80E5-29EA6855CCDB}">
      <text>
        <r>
          <rPr>
            <b/>
            <sz val="9"/>
            <color indexed="81"/>
            <rFont val="Tahoma"/>
            <family val="2"/>
          </rPr>
          <t>Marlen:</t>
        </r>
        <r>
          <rPr>
            <sz val="9"/>
            <color indexed="81"/>
            <rFont val="Tahoma"/>
            <family val="2"/>
          </rPr>
          <t xml:space="preserve">
no se cuenta con el circulante del OIJ todavía
</t>
        </r>
      </text>
    </comment>
    <comment ref="T114" authorId="3" shapeId="0" xr:uid="{4A720A20-A2E3-427A-806B-D9C5D63997FF}">
      <text>
        <r>
          <rPr>
            <b/>
            <sz val="9"/>
            <color indexed="81"/>
            <rFont val="Tahoma"/>
            <family val="2"/>
          </rPr>
          <t>Marlen:</t>
        </r>
        <r>
          <rPr>
            <sz val="9"/>
            <color indexed="81"/>
            <rFont val="Tahoma"/>
            <family val="2"/>
          </rPr>
          <t xml:space="preserve">
no se cuenta con el circulante del OIJ todavía
</t>
        </r>
      </text>
    </comment>
    <comment ref="U114" authorId="3" shapeId="0" xr:uid="{3DE93C21-7E6E-4C23-BDFD-2833DFE8C5D1}">
      <text>
        <r>
          <rPr>
            <b/>
            <sz val="9"/>
            <color indexed="81"/>
            <rFont val="Tahoma"/>
            <family val="2"/>
          </rPr>
          <t>Marlen:</t>
        </r>
        <r>
          <rPr>
            <sz val="9"/>
            <color indexed="81"/>
            <rFont val="Tahoma"/>
            <family val="2"/>
          </rPr>
          <t xml:space="preserve">
no se cuenta con el circulante del OIJ todavía
</t>
        </r>
      </text>
    </comment>
    <comment ref="V114" authorId="3" shapeId="0" xr:uid="{92BACBDC-D562-47A8-86C5-5777EAC7CB7D}">
      <text>
        <r>
          <rPr>
            <b/>
            <sz val="9"/>
            <color indexed="81"/>
            <rFont val="Tahoma"/>
            <family val="2"/>
          </rPr>
          <t>Marlen:</t>
        </r>
        <r>
          <rPr>
            <sz val="9"/>
            <color indexed="81"/>
            <rFont val="Tahoma"/>
            <family val="2"/>
          </rPr>
          <t xml:space="preserve">
no se cuenta con el circulante del OIJ todavía
</t>
        </r>
      </text>
    </comment>
    <comment ref="B115" authorId="1" shapeId="0" xr:uid="{3D4F96F2-6416-4E86-9838-B4DA3733033E}">
      <text>
        <r>
          <rPr>
            <b/>
            <sz val="9"/>
            <color indexed="81"/>
            <rFont val="Tahoma"/>
            <family val="2"/>
          </rPr>
          <t>Marlen Vargas Benavides:</t>
        </r>
        <r>
          <rPr>
            <sz val="9"/>
            <color indexed="81"/>
            <rFont val="Tahoma"/>
            <family val="2"/>
          </rPr>
          <t xml:space="preserve">
la jusrisdiccional le resta lo del MP</t>
        </r>
      </text>
    </comment>
    <comment ref="B158" authorId="3" shapeId="0" xr:uid="{00000000-0006-0000-0100-00007A000000}">
      <text>
        <r>
          <rPr>
            <b/>
            <sz val="9"/>
            <color indexed="81"/>
            <rFont val="Tahoma"/>
            <family val="2"/>
          </rPr>
          <t>Marlen:</t>
        </r>
        <r>
          <rPr>
            <sz val="9"/>
            <color indexed="81"/>
            <rFont val="Tahoma"/>
            <family val="2"/>
          </rPr>
          <t xml:space="preserve">
ND lo del circulante</t>
        </r>
      </text>
    </comment>
    <comment ref="B159" authorId="3" shapeId="0" xr:uid="{00000000-0006-0000-0100-00007B000000}">
      <text>
        <r>
          <rPr>
            <b/>
            <sz val="9"/>
            <color indexed="81"/>
            <rFont val="Tahoma"/>
            <family val="2"/>
          </rPr>
          <t>Marlen:</t>
        </r>
        <r>
          <rPr>
            <sz val="9"/>
            <color indexed="81"/>
            <rFont val="Tahoma"/>
            <family val="2"/>
          </rPr>
          <t xml:space="preserve">
ND lo del circulante</t>
        </r>
      </text>
    </comment>
    <comment ref="C207" authorId="3" shapeId="0" xr:uid="{0AACEECB-DDEF-4577-A0F6-F087B80DB306}">
      <text>
        <r>
          <rPr>
            <b/>
            <sz val="9"/>
            <color indexed="81"/>
            <rFont val="Tahoma"/>
            <family val="2"/>
          </rPr>
          <t>Marlen:</t>
        </r>
        <r>
          <rPr>
            <sz val="9"/>
            <color indexed="81"/>
            <rFont val="Tahoma"/>
            <family val="2"/>
          </rPr>
          <t xml:space="preserve">
ND lo del circulante</t>
        </r>
      </text>
    </comment>
    <comment ref="C208" authorId="3" shapeId="0" xr:uid="{53BBB53E-A635-4C05-BDFC-A2B3704DA7A4}">
      <text>
        <r>
          <rPr>
            <b/>
            <sz val="9"/>
            <color indexed="81"/>
            <rFont val="Tahoma"/>
            <family val="2"/>
          </rPr>
          <t>Marlen:</t>
        </r>
        <r>
          <rPr>
            <sz val="9"/>
            <color indexed="81"/>
            <rFont val="Tahoma"/>
            <family val="2"/>
          </rPr>
          <t xml:space="preserve">
ND lo del circulante</t>
        </r>
      </text>
    </comment>
    <comment ref="B690" authorId="0" shapeId="0" xr:uid="{515C48D3-A030-45B0-8660-282A8F913D15}">
      <text>
        <r>
          <rPr>
            <b/>
            <sz val="9"/>
            <color indexed="81"/>
            <rFont val="Tahoma"/>
            <family val="2"/>
          </rPr>
          <t>mvargasb:</t>
        </r>
        <r>
          <rPr>
            <sz val="9"/>
            <color indexed="81"/>
            <rFont val="Tahoma"/>
            <family val="2"/>
          </rPr>
          <t xml:space="preserve">
Incluyeno penal + MP+  MP PJ + constitucional
estado de la nacion se llama: Entrada neta en las oficinas de I Instancia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Jesus</author>
    <author>Marlen Vargas Benavides</author>
  </authors>
  <commentList>
    <comment ref="F1" authorId="0" shapeId="0" xr:uid="{67BE26E7-7221-4CC3-B14A-F9F7BFB7E694}">
      <text>
        <r>
          <rPr>
            <sz val="10"/>
            <color indexed="81"/>
            <rFont val="Tahoma"/>
            <family val="2"/>
          </rPr>
          <t>Indicadores Estructurales
reflejan la ratificación y adopción de instrumentos jurídicos y la existencia de mecanismos institucionales básicos que se consideran necesarios para facilitar la realización de un derecho humano. Reflejan el compromiso o la intención del Estado de adoptar
medidas para hacer efectivo los derechos humanos.  Los indicadores estructurales deben, ante todo, centrarse en la naturaleza de las leyes nacionales aplicables al derecho de que se trate -es decir, indicar si han incorporado las normas internacionalesy en los mecanismos institucionales que promueven y protegen las normas. Los indicadores estructurales deben también reflejar las políticas y las estrategias del Estado pertinentes a ese derecho. Esto es particularmente importante en la perspectiva de los derechos humanos. Una política nacional declarada sobre determinado tema suele ser un instrumento en el que un gobierno define objetivos, un marco normativo, una estrategia y/o un plan de acción concreto para atender los problemas que conlleva el tema en cuestión. Al ser indicativa de la voluntad del gobierno de ocuparse del tema en cuestión, la política declarada puede ofrecer además los
parámetros para que el gobierno rinda cuenta de sus acciones u omisiones con respecto a ese tema. Además, una política declarada es un medio para traducir las obligaciones de un Estado parte en materia de derechos humanos en un programa de acción viable que contribuya a la 3 HRI/MC/2008/3
Indicadores de Proceso
Los indicadores de proceso relacionan los instrumentos de política públicas entendidas como planes, programas y acciones concretas que un Estado está dispuesto a adoptar para materializar su compromiso de alcanzar los resultados que corresponden a la realización de un determinado derecho humano. Al definir los indicadores de proceso en forma de relación causal concreta se
puede evaluar mejor la forma en que un Estado cumple sus obligaciones. Al mismo tiempo estos indicadores ayudan a vigilar directamente el ejercicio progresivo del derecho o el proceso de protección del derecho, según el caso, para la realización del derecho en cuestión.
Indicadores de Resultado
Los indicadores de resultados describen los logros, individuales y colectivos, que reflejan el grado de realización de un derecho humano en un determinado contexto. No se trata sólo de una medida más directa de la realización del derecho humano sino también de la importancia de esa medida para apreciar el disfrute del derecho. Puesto que refleja los efectos acumulados de
diversos procesos subyacentes (que pueden ser descritos por uno o más indicadores de proceso), un indicador de resultado suele ser un indicador lento, menos sensible a las variaciones transitorias que un indicador de proceso. Por ejemplo, los indicadores de la esperanza de vida o la mortalidad podrían depender de la inmunización de una población, de la educación o conocimiento de la
población en materia de salud pública, así como de la disponibilidad de suficientes alimentos y del acceso que tenga a ellos la población. Resulta, por tanto, instructivo considerar los indicadores de proceso y de resultados como variables dinámicas y estáticas, respectivamente, con la salvedad de  que a menudo un mismo resultado puede ser producto de uno o más procesos y en otros casos el mismo proceso puede influir en más de un resultado</t>
        </r>
      </text>
    </comment>
    <comment ref="E41" authorId="1" shapeId="0" xr:uid="{B72E9922-5976-4D30-A109-F3C56E130678}">
      <text>
        <r>
          <rPr>
            <b/>
            <sz val="9"/>
            <color indexed="81"/>
            <rFont val="Tahoma"/>
            <family val="2"/>
          </rPr>
          <t>Marlen Vargas Benavides:</t>
        </r>
        <r>
          <rPr>
            <sz val="9"/>
            <color indexed="81"/>
            <rFont val="Tahoma"/>
            <family val="2"/>
          </rPr>
          <t xml:space="preserve">
incluyen el porcentanje que le corresponde del programa 926
</t>
        </r>
      </text>
    </comment>
    <comment ref="E42" authorId="1" shapeId="0" xr:uid="{1006C94D-220B-4991-8758-DCE73C0D3596}">
      <text>
        <r>
          <rPr>
            <b/>
            <sz val="9"/>
            <color indexed="81"/>
            <rFont val="Tahoma"/>
            <family val="2"/>
          </rPr>
          <t>Marlen Vargas Benavides:</t>
        </r>
        <r>
          <rPr>
            <sz val="9"/>
            <color indexed="81"/>
            <rFont val="Tahoma"/>
            <family val="2"/>
          </rPr>
          <t xml:space="preserve">
incluyen el porcentanje que le corresponde del programa 926
</t>
        </r>
      </text>
    </comment>
    <comment ref="E43" authorId="1" shapeId="0" xr:uid="{56D6C4EA-B8F0-46D8-89E9-2AA6FD01C8CA}">
      <text>
        <r>
          <rPr>
            <b/>
            <sz val="9"/>
            <color indexed="81"/>
            <rFont val="Tahoma"/>
            <family val="2"/>
          </rPr>
          <t>Marlen Vargas Benavides:</t>
        </r>
        <r>
          <rPr>
            <sz val="9"/>
            <color indexed="81"/>
            <rFont val="Tahoma"/>
            <family val="2"/>
          </rPr>
          <t xml:space="preserve">
incluyen el porcentanje que le corresponde del programa 926
</t>
        </r>
      </text>
    </comment>
    <comment ref="E44" authorId="1" shapeId="0" xr:uid="{F6CC289C-D10A-4DB3-A285-FE3C15CBD285}">
      <text>
        <r>
          <rPr>
            <b/>
            <sz val="9"/>
            <color indexed="81"/>
            <rFont val="Tahoma"/>
            <family val="2"/>
          </rPr>
          <t>Marlen Vargas Benavides:</t>
        </r>
        <r>
          <rPr>
            <sz val="9"/>
            <color indexed="81"/>
            <rFont val="Tahoma"/>
            <family val="2"/>
          </rPr>
          <t xml:space="preserve">
incluyen el porcentanje que le corresponde del programa 926
</t>
        </r>
      </text>
    </comment>
    <comment ref="E45" authorId="1" shapeId="0" xr:uid="{7BF37D7E-5577-437E-A8B3-48B7E09A6279}">
      <text>
        <r>
          <rPr>
            <b/>
            <sz val="9"/>
            <color indexed="81"/>
            <rFont val="Tahoma"/>
            <family val="2"/>
          </rPr>
          <t>Marlen Vargas Benavides:</t>
        </r>
        <r>
          <rPr>
            <sz val="9"/>
            <color indexed="81"/>
            <rFont val="Tahoma"/>
            <family val="2"/>
          </rPr>
          <t xml:space="preserve">
incluyen el porcentanje que le corresponde del programa 926
</t>
        </r>
      </text>
    </comment>
    <comment ref="E46" authorId="1" shapeId="0" xr:uid="{3F6CDB21-E169-40BB-9293-A570F352FEE6}">
      <text>
        <r>
          <rPr>
            <b/>
            <sz val="9"/>
            <color indexed="81"/>
            <rFont val="Tahoma"/>
            <family val="2"/>
          </rPr>
          <t>Marlen Vargas Benavides:</t>
        </r>
        <r>
          <rPr>
            <sz val="9"/>
            <color indexed="81"/>
            <rFont val="Tahoma"/>
            <family val="2"/>
          </rPr>
          <t xml:space="preserve">
incluyen el porcentanje que le corresponde del programa 926
</t>
        </r>
      </text>
    </comment>
    <comment ref="E48" authorId="1" shapeId="0" xr:uid="{7862A735-D4AA-4088-94DA-F4169556E386}">
      <text>
        <r>
          <rPr>
            <b/>
            <sz val="9"/>
            <color indexed="81"/>
            <rFont val="Tahoma"/>
            <family val="2"/>
          </rPr>
          <t>Marlen Vargas Benavides:</t>
        </r>
        <r>
          <rPr>
            <sz val="9"/>
            <color indexed="81"/>
            <rFont val="Tahoma"/>
            <family val="2"/>
          </rPr>
          <t xml:space="preserve">
Se divide solo sobre primera instancia porque es el mismo expediente que genera la segunda o tercera 
instancia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F1" authorId="0" shapeId="0" xr:uid="{E9028C0F-BBEE-447A-970C-481285B816E9}">
      <text>
        <r>
          <rPr>
            <sz val="10"/>
            <color indexed="81"/>
            <rFont val="Tahoma"/>
            <family val="2"/>
          </rPr>
          <t>Indicadores Estructurales
reflejan la ratificación y adopción de instrumentos jurídicos y la existencia de mecanismos institucionales básicos que se consideran necesarios para facilitar la realización de un derecho humano. Reflejan el compromiso o la intención del Estado de adoptar
medidas para hacer efectivo los derechos humanos.  Los indicadores estructurales deben, ante todo, centrarse en la naturaleza de las leyes nacionales aplicables al derecho de que se trate -es decir, indicar si han incorporado las normas internacionalesy en los mecanismos institucionales que promueven y protegen las normas. Los indicadores estructurales deben también reflejar las políticas y las estrategias del Estado pertinentes a ese derecho. Esto es particularmente importante en la perspectiva de los derechos humanos. Una política nacional declarada sobre determinado tema suele ser un instrumento en el que un gobierno define objetivos, un marco normativo, una estrategia y/o un plan de acción concreto para atender los problemas que conlleva el tema en cuestión. Al ser indicativa de la voluntad del gobierno de ocuparse del tema en cuestión, la política declarada puede ofrecer además los
parámetros para que el gobierno rinda cuenta de sus acciones u omisiones con respecto a ese tema. Además, una política declarada es un medio para traducir las obligaciones de un Estado parte en materia de derechos humanos en un programa de acción viable que contribuya a la 3 HRI/MC/2008/3
Indicadores de Proceso
Los indicadores de proceso relacionan los instrumentos de política públicas entendidas como planes, programas y acciones concretas que un Estado está dispuesto a adoptar para materializar su compromiso de alcanzar los resultados que corresponden a la realización de un determinado derecho humano. Al definir los indicadores de proceso en forma de relación causal concreta se
puede evaluar mejor la forma en que un Estado cumple sus obligaciones. Al mismo tiempo estos indicadores ayudan a vigilar directamente el ejercicio progresivo del derecho o el proceso de protección del derecho, según el caso, para la realización del derecho en cuestión.
Indicadores de Resultado
Los indicadores de resultados describen los logros, individuales y colectivos, que reflejan el grado de realización de un derecho humano en un determinado contexto. No se trata sólo de una medida más directa de la realización del derecho humano sino también de la importancia de esa medida para apreciar el disfrute del derecho. Puesto que refleja los efectos acumulados de
diversos procesos subyacentes (que pueden ser descritos por uno o más indicadores de proceso), un indicador de resultado suele ser un indicador lento, menos sensible a las variaciones transitorias que un indicador de proceso. Por ejemplo, los indicadores de la esperanza de vida o la mortalidad podrían depender de la inmunización de una población, de la educación o conocimiento de la
población en materia de salud pública, así como de la disponibilidad de suficientes alimentos y del acceso que tenga a ellos la población. Resulta, por tanto, instructivo considerar los indicadores de proceso y de resultados como variables dinámicas y estáticas, respectivamente, con la salvedad de  que a menudo un mismo resultado puede ser producto de uno o más procesos y en otros casos el mismo proceso puede influir en más de un resultado</t>
        </r>
      </text>
    </comment>
    <comment ref="E12" authorId="0" shapeId="0" xr:uid="{26563852-6C3E-4CB6-A441-3BC3BA7700D6}">
      <text>
        <r>
          <rPr>
            <sz val="9"/>
            <color indexed="81"/>
            <rFont val="Tahoma"/>
            <family val="2"/>
          </rPr>
          <t>Jueces de todas las instancias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F1" authorId="0" shapeId="0" xr:uid="{0ED19148-B920-4248-8A8C-65623A4000A1}">
      <text>
        <r>
          <rPr>
            <sz val="10"/>
            <color indexed="81"/>
            <rFont val="Tahoma"/>
            <family val="2"/>
          </rPr>
          <t>Indicadores Estructurales
reflejan la ratificación y adopción de instrumentos jurídicos y la existencia de mecanismos institucionales básicos que se consideran necesarios para facilitar la realización de un derecho humano. Reflejan el compromiso o la intención del Estado de adoptar
medidas para hacer efectivo los derechos humanos.  Los indicadores estructurales deben, ante todo, centrarse en la naturaleza de las leyes nacionales aplicables al derecho de que se trate -es decir, indicar si han incorporado las normas internacionalesy en los mecanismos institucionales que promueven y protegen las normas. Los indicadores estructurales deben también reflejar las políticas y las estrategias del Estado pertinentes a ese derecho. Esto es particularmente importante en la perspectiva de los derechos humanos. Una política nacional declarada sobre determinado tema suele ser un instrumento en el que un gobierno define objetivos, un marco normativo, una estrategia y/o un plan de acción concreto para atender los problemas que conlleva el tema en cuestión. Al ser indicativa de la voluntad del gobierno de ocuparse del tema en cuestión, la política declarada puede ofrecer además los
parámetros para que el gobierno rinda cuenta de sus acciones u omisiones con respecto a ese tema. Además, una política declarada es un medio para traducir las obligaciones de un Estado parte en materia de derechos humanos en un programa de acción viable que contribuya a la 3 HRI/MC/2008/3
Indicadores de Proceso
Los indicadores de proceso relacionan los instrumentos de política públicas entendidas como planes, programas y acciones concretas que un Estado está dispuesto a adoptar para materializar su compromiso de alcanzar los resultados que corresponden a la realización de un determinado derecho humano. Al definir los indicadores de proceso en forma de relación causal concreta se
puede evaluar mejor la forma en que un Estado cumple sus obligaciones. Al mismo tiempo estos indicadores ayudan a vigilar directamente el ejercicio progresivo del derecho o el proceso de protección del derecho, según el caso, para la realización del derecho en cuestión.
Indicadores de Resultado
Los indicadores de resultados describen los logros, individuales y colectivos, que reflejan el grado de realización de un derecho humano en un determinado contexto. No se trata sólo de una medida más directa de la realización del derecho humano sino también de la importancia de esa medida para apreciar el disfrute del derecho. Puesto que refleja los efectos acumulados de
diversos procesos subyacentes (que pueden ser descritos por uno o más indicadores de proceso), un indicador de resultado suele ser un indicador lento, menos sensible a las variaciones transitorias que un indicador de proceso. Por ejemplo, los indicadores de la esperanza de vida o la mortalidad podrían depender de la inmunización de una población, de la educación o conocimiento de la
población en materia de salud pública, así como de la disponibilidad de suficientes alimentos y del acceso que tenga a ellos la población. Resulta, por tanto, instructivo considerar los indicadores de proceso y de resultados como variables dinámicas y estáticas, respectivamente, con la salvedad de  que a menudo un mismo resultado puede ser producto de uno o más procesos y en otros casos el mismo proceso puede influir en más de un resultado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Jesus</author>
    <author>Marlen</author>
  </authors>
  <commentList>
    <comment ref="F1" authorId="0" shapeId="0" xr:uid="{F4896953-3F59-40C6-81F3-B4A794F7A5B1}">
      <text>
        <r>
          <rPr>
            <sz val="10"/>
            <color indexed="81"/>
            <rFont val="Tahoma"/>
            <family val="2"/>
          </rPr>
          <t>Indicadores Estructurales
reflejan la ratificación y adopción de instrumentos jurídicos y la existencia de mecanismos institucionales básicos que se consideran necesarios para facilitar la realización de un derecho humano. Reflejan el compromiso o la intención del Estado de adoptar
medidas para hacer efectivo los derechos humanos.  Los indicadores estructurales deben, ante todo, centrarse en la naturaleza de las leyes nacionales aplicables al derecho de que se trate -es decir, indicar si han incorporado las normas internacionalesy en los mecanismos institucionales que promueven y protegen las normas. Los indicadores estructurales deben también reflejar las políticas y las estrategias del Estado pertinentes a ese derecho. Esto es particularmente importante en la perspectiva de los derechos humanos. Una política nacional declarada sobre determinado tema suele ser un instrumento en el que un gobierno define objetivos, un marco normativo, una estrategia y/o un plan de acción concreto para atender los problemas que conlleva el tema en cuestión. Al ser indicativa de la voluntad del gobierno de ocuparse del tema en cuestión, la política declarada puede ofrecer además los
parámetros para que el gobierno rinda cuenta de sus acciones u omisiones con respecto a ese tema. Además, una política declarada es un medio para traducir las obligaciones de un Estado parte en materia de derechos humanos en un programa de acción viable que contribuya a la 3 HRI/MC/2008/3
Indicadores de Proceso
Los indicadores de proceso relacionan los instrumentos de política públicas entendidas como planes, programas y acciones concretas que un Estado está dispuesto a adoptar para materializar su compromiso de alcanzar los resultados que corresponden a la realización de un determinado derecho humano. Al definir los indicadores de proceso en forma de relación causal concreta se
puede evaluar mejor la forma en que un Estado cumple sus obligaciones. Al mismo tiempo estos indicadores ayudan a vigilar directamente el ejercicio progresivo del derecho o el proceso de protección del derecho, según el caso, para la realización del derecho en cuestión.
Indicadores de Resultado
Los indicadores de resultados describen los logros, individuales y colectivos, que reflejan el grado de realización de un derecho humano en un determinado contexto. No se trata sólo de una medida más directa de la realización del derecho humano sino también de la importancia de esa medida para apreciar el disfrute del derecho. Puesto que refleja los efectos acumulados de
diversos procesos subyacentes (que pueden ser descritos por uno o más indicadores de proceso), un indicador de resultado suele ser un indicador lento, menos sensible a las variaciones transitorias que un indicador de proceso. Por ejemplo, los indicadores de la esperanza de vida o la mortalidad podrían depender de la inmunización de una población, de la educación o conocimiento de la
población en materia de salud pública, así como de la disponibilidad de suficientes alimentos y del acceso que tenga a ellos la población. Resulta, por tanto, instructivo considerar los indicadores de proceso y de resultados como variables dinámicas y estáticas, respectivamente, con la salvedad de  que a menudo un mismo resultado puede ser producto de uno o más procesos y en otros casos el mismo proceso puede influir en más de un resultado</t>
        </r>
      </text>
    </comment>
    <comment ref="E52" authorId="1" shapeId="0" xr:uid="{A9C0F1ED-C950-4B5A-AE3E-B04D5F9C9D53}">
      <text>
        <r>
          <rPr>
            <b/>
            <sz val="9"/>
            <color indexed="81"/>
            <rFont val="Tahoma"/>
            <family val="2"/>
          </rPr>
          <t>Marlen:</t>
        </r>
        <r>
          <rPr>
            <sz val="9"/>
            <color indexed="81"/>
            <rFont val="Tahoma"/>
            <family val="2"/>
          </rPr>
          <t xml:space="preserve">
ND lo del circulante</t>
        </r>
      </text>
    </comment>
    <comment ref="E53" authorId="1" shapeId="0" xr:uid="{6645D2F0-100A-438E-A133-F4A0BDAC56CB}">
      <text>
        <r>
          <rPr>
            <b/>
            <sz val="9"/>
            <color indexed="81"/>
            <rFont val="Tahoma"/>
            <family val="2"/>
          </rPr>
          <t>Marlen:</t>
        </r>
        <r>
          <rPr>
            <sz val="9"/>
            <color indexed="81"/>
            <rFont val="Tahoma"/>
            <family val="2"/>
          </rPr>
          <t xml:space="preserve">
ND lo del circulante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F1" authorId="0" shapeId="0" xr:uid="{C536D279-220A-4A42-A1BB-EAEE192BF8E6}">
      <text>
        <r>
          <rPr>
            <sz val="10"/>
            <color indexed="81"/>
            <rFont val="Tahoma"/>
            <family val="2"/>
          </rPr>
          <t>Indicadores Estructurales
reflejan la ratificación y adopción de instrumentos jurídicos y la existencia de mecanismos institucionales básicos que se consideran necesarios para facilitar la realización de un derecho humano. Reflejan el compromiso o la intención del Estado de adoptar
medidas para hacer efectivo los derechos humanos.  Los indicadores estructurales deben, ante todo, centrarse en la naturaleza de las leyes nacionales aplicables al derecho de que se trate -es decir, indicar si han incorporado las normas internacionalesy en los mecanismos institucionales que promueven y protegen las normas. Los indicadores estructurales deben también reflejar las políticas y las estrategias del Estado pertinentes a ese derecho. Esto es particularmente importante en la perspectiva de los derechos humanos. Una política nacional declarada sobre determinado tema suele ser un instrumento en el que un gobierno define objetivos, un marco normativo, una estrategia y/o un plan de acción concreto para atender los problemas que conlleva el tema en cuestión. Al ser indicativa de la voluntad del gobierno de ocuparse del tema en cuestión, la política declarada puede ofrecer además los
parámetros para que el gobierno rinda cuenta de sus acciones u omisiones con respecto a ese tema. Además, una política declarada es un medio para traducir las obligaciones de un Estado parte en materia de derechos humanos en un programa de acción viable que contribuya a la 3 HRI/MC/2008/3
Indicadores de Proceso
Los indicadores de proceso relacionan los instrumentos de política públicas entendidas como planes, programas y acciones concretas que un Estado está dispuesto a adoptar para materializar su compromiso de alcanzar los resultados que corresponden a la realización de un determinado derecho humano. Al definir los indicadores de proceso en forma de relación causal concreta se
puede evaluar mejor la forma en que un Estado cumple sus obligaciones. Al mismo tiempo estos indicadores ayudan a vigilar directamente el ejercicio progresivo del derecho o el proceso de protección del derecho, según el caso, para la realización del derecho en cuestión.
Indicadores de Resultado
Los indicadores de resultados describen los logros, individuales y colectivos, que reflejan el grado de realización de un derecho humano en un determinado contexto. No se trata sólo de una medida más directa de la realización del derecho humano sino también de la importancia de esa medida para apreciar el disfrute del derecho. Puesto que refleja los efectos acumulados de
diversos procesos subyacentes (que pueden ser descritos por uno o más indicadores de proceso), un indicador de resultado suele ser un indicador lento, menos sensible a las variaciones transitorias que un indicador de proceso. Por ejemplo, los indicadores de la esperanza de vida o la mortalidad podrían depender de la inmunización de una población, de la educación o conocimiento de la
población en materia de salud pública, así como de la disponibilidad de suficientes alimentos y del acceso que tenga a ellos la población. Resulta, por tanto, instructivo considerar los indicadores de proceso y de resultados como variables dinámicas y estáticas, respectivamente, con la salvedad de  que a menudo un mismo resultado puede ser producto de uno o más procesos y en otros casos el mismo proceso puede influir en más de un resultado</t>
        </r>
      </text>
    </comment>
  </commentList>
</comments>
</file>

<file path=xl/sharedStrings.xml><?xml version="1.0" encoding="utf-8"?>
<sst xmlns="http://schemas.openxmlformats.org/spreadsheetml/2006/main" count="10516" uniqueCount="4240">
  <si>
    <t>Tema</t>
  </si>
  <si>
    <t>VARIABLES</t>
  </si>
  <si>
    <t xml:space="preserve">Extensión </t>
  </si>
  <si>
    <t>Extensión Territorial de Costa Rica</t>
  </si>
  <si>
    <t>económicas</t>
  </si>
  <si>
    <t>Presupuesto aprobado para el Poder Judicial por la Asamblea Legislativa</t>
  </si>
  <si>
    <t xml:space="preserve">Presupuesto actual del Poder Judicial </t>
  </si>
  <si>
    <t>Gasto en justicia del programa 926 redistribuido a los otros programas en un 37.13%</t>
  </si>
  <si>
    <t>Gasto total en Justicia (Costo de la Justicia)</t>
  </si>
  <si>
    <t>Gasto en justicia del programa 926 Dirección, Administ. y Otros Org. de Apoyo Jurisd</t>
  </si>
  <si>
    <t>Gasto en Justicia del programa 927 Servicio Jurisdiccional</t>
  </si>
  <si>
    <t>Gasto en Justicia del programa 927 Servicio Jurisdiccional en Civil</t>
  </si>
  <si>
    <t>Gasto en Justicia del programa 927 Servicio Jurisdiccional en Cobro</t>
  </si>
  <si>
    <t>Gasto en Justicia del programa 927 Servicio Jurisdiccional en Agraria</t>
  </si>
  <si>
    <t>Gasto en Justicia del programa 927 Servicio Jurisdiccional en Familia</t>
  </si>
  <si>
    <t>Gasto en Justicia del programa 927 Servicio Jurisdiccional en Cont. Administrativo</t>
  </si>
  <si>
    <t>Gasto en Justicia del programa 927 Servicio Jurisdiccional en Trabajo</t>
  </si>
  <si>
    <t>Gasto en Justicia del programa 927 Servicio Jurisdiccional en Contravencional</t>
  </si>
  <si>
    <t>Gasto en Justicia del programa 927 Servicio Jurisdiccional en Tránsito</t>
  </si>
  <si>
    <t>Gasto en Justicia del programa 927 Servicio Jurisdiccional en Pensiones Alimentarias</t>
  </si>
  <si>
    <t>Gasto en Justicia del programa 927 Servicio Jurisdiccional en Violencia Doméstica</t>
  </si>
  <si>
    <t>Gasto en Justicia del programa 927 Servicio Jurisdiccional en Notarial</t>
  </si>
  <si>
    <t>Gasto en Justicia del programa 927 Servicio Jurisdiccional en Penal</t>
  </si>
  <si>
    <t>Gasto en Justicia del programa 927 Servicio Jurisdiccional en Penal Juvenil</t>
  </si>
  <si>
    <t>Gasto en Justicia del programa 927 Servicio Jurisdiccional en Constitucional</t>
  </si>
  <si>
    <t>Gasto en Justicia del programa 928 Servicio Organismo de Investigación Judicial</t>
  </si>
  <si>
    <t>Gasto en Justicia del programa 929 Ministerio Público</t>
  </si>
  <si>
    <t>Gasto en Justicia del programa 930 Defensa Pública</t>
  </si>
  <si>
    <t>Gasto en Justicia del programa 931 Servicio Notariado</t>
  </si>
  <si>
    <t>Gasto en Justicia del programa 932 Servicio Justicia de Tránsito</t>
  </si>
  <si>
    <t>Gasto en Justicia del programa 942 Aporte Local Préstamo 1377/OC-CR</t>
  </si>
  <si>
    <t>Gasto en Justicia del programa 950 Servicio de Atención y protección a Víctimas y Testigos</t>
  </si>
  <si>
    <t>801 Superávit</t>
  </si>
  <si>
    <t>Presupuesto formulado del Gobierno Central</t>
  </si>
  <si>
    <t>Gasto Público del Gobierno Central</t>
  </si>
  <si>
    <t>Ingresos Corrientes del Gobierno Central</t>
  </si>
  <si>
    <t>Gasto variable del Poder Judicial</t>
  </si>
  <si>
    <t>Gasto pago de personal del Poder Judicial</t>
  </si>
  <si>
    <t>Gasto pago de personal del Poder Judicial del programa 926 Dirección, Administ. y Otros Org. de Apoyo Jurisd</t>
  </si>
  <si>
    <t>Gasto pago de personal del Poder Judicial del programa 927 Servicio Jurisdiccional</t>
  </si>
  <si>
    <t>Gasto pago de personal del Poder Judicial del programa 928 Servicio Organismo de Investigación Judicial</t>
  </si>
  <si>
    <t>Gasto pago de personal del Poder Judicial del programa 929 Ministerio Público</t>
  </si>
  <si>
    <t>Gasto pago de personal del Poder Judicial del programa 930 Defensa Pública</t>
  </si>
  <si>
    <t>Gasto pago de personal del Poder Judicial del programa 950 Servicio de Atención y protección a Víctimas y Testigos</t>
  </si>
  <si>
    <t>Gasto pago de personal del Poder Judicial de los programas 931 Servicio Notariado, 932 Servicio Justicia de Tránsito, 942 Aporte Local Préstamo 1377/OC-CR, 801 Superávit</t>
  </si>
  <si>
    <t>PIB (a precios de mercado) año base 1991</t>
  </si>
  <si>
    <t>PIB (a precios de mercado nominal) año base 2012</t>
  </si>
  <si>
    <t>Tipo de cambio (compra al 1º de julio de cada año)</t>
  </si>
  <si>
    <t>RH-Población</t>
  </si>
  <si>
    <t>Población total de Costa Rica</t>
  </si>
  <si>
    <t>Población total de hombres</t>
  </si>
  <si>
    <t>Población total de mujeres</t>
  </si>
  <si>
    <t>Población de Costa Rica por I Circuito Judicial de San José</t>
  </si>
  <si>
    <t>Población de Costa Rica por II Circuito Judicial de San José</t>
  </si>
  <si>
    <t>Población de Costa Rica por III Circuito Judicial de San José</t>
  </si>
  <si>
    <t>Población de Costa Rica por I Circuito Judicial de Alajuela</t>
  </si>
  <si>
    <t>Población de Costa Rica por II Circuito Judicial de Alajuela</t>
  </si>
  <si>
    <t>Población de Costa Rica por III Circuito Judicial de Alajuela</t>
  </si>
  <si>
    <t>Población de Costa Rica por Circuito Judicial de Cartago</t>
  </si>
  <si>
    <t>Población de Costa Rica por Circuito Judicial de Heredia</t>
  </si>
  <si>
    <t>Población de Costa Rica por I Circuito Judicial de Guanacaste</t>
  </si>
  <si>
    <t>Población de Costa Rica por II Circuito Judicial de Guanacaste</t>
  </si>
  <si>
    <t>Población de Costa Rica por Circuito Judicial de Puntarenas</t>
  </si>
  <si>
    <t>Población de Costa Rica por I Circuito Judicial de Zona Sur</t>
  </si>
  <si>
    <t>Población de Costa Rica por II Circuito Judicial de Zona Sur</t>
  </si>
  <si>
    <t>Población de Costa Rica por I Circuito Judicial de Zona Atlántica</t>
  </si>
  <si>
    <t>Población de Costa Rica por II Circuito Judicial de Zona Atlántica</t>
  </si>
  <si>
    <t>Población de Costa Rica mayor de 18 años</t>
  </si>
  <si>
    <t>RH-Personal</t>
  </si>
  <si>
    <t>Total de jueces y juezas</t>
  </si>
  <si>
    <t>Total de jueces y juezas de Primera Instancia</t>
  </si>
  <si>
    <t>Total de jueces y juezas de Segunda Instancia</t>
  </si>
  <si>
    <t>Total de magistrados y magistradas de Instancia Superior</t>
  </si>
  <si>
    <t>Total de magistrados y magistradas de Unica Instancia</t>
  </si>
  <si>
    <t>Total de jueces y juezas de Ejecución</t>
  </si>
  <si>
    <t>Total de Personal del Poder Judicial</t>
  </si>
  <si>
    <t>Total personal Ordinario del Poder Judicial</t>
  </si>
  <si>
    <t>Total personal extraordinario del Poder Judicial</t>
  </si>
  <si>
    <t>Total personal juzgador, investigador o profesional Poder Judicial</t>
  </si>
  <si>
    <t>Total de personal Dirección y administración</t>
  </si>
  <si>
    <t>Total de personal dirección y administración ordinario</t>
  </si>
  <si>
    <t>Total de personal dirección y administración extraordinario</t>
  </si>
  <si>
    <t>Total de personal Jurisdiccional</t>
  </si>
  <si>
    <t>Total de jueces y juezas ordinarios</t>
  </si>
  <si>
    <t>Total de jueces y juezas extraordinarias</t>
  </si>
  <si>
    <t>Total de personal administrativo ordinario</t>
  </si>
  <si>
    <t>Total de personal administrativo extraordinario</t>
  </si>
  <si>
    <t>Total de personal de Fiscalía</t>
  </si>
  <si>
    <t>Total de fiscales y fiscalas ordinarios</t>
  </si>
  <si>
    <t>Total de fiscales y fiscalas extraordinarias</t>
  </si>
  <si>
    <t>Total personal del Servicio Defensa Pública</t>
  </si>
  <si>
    <t>Total de defensores y defensoras ordinarios</t>
  </si>
  <si>
    <t>Total de defensores y defensoras extraordinarias</t>
  </si>
  <si>
    <t>Total de Asistencia social ordinaria</t>
  </si>
  <si>
    <t>Total de Asistencia social extraordinaria</t>
  </si>
  <si>
    <t>Total personal Servicio de Investigación Judicial</t>
  </si>
  <si>
    <t>Total de investigadores (as) ordinarios</t>
  </si>
  <si>
    <t>Total de investigadores (as) extraordinarias</t>
  </si>
  <si>
    <t>Total de Atención y Protección a Víctimas y Testigos</t>
  </si>
  <si>
    <t>Total de Atención y Protección a Víctimas y Testigos Ordinarios</t>
  </si>
  <si>
    <t>Total de Atención y Protección a Víctimas y Testigos Extraordinarios</t>
  </si>
  <si>
    <t>RH-cantidad of</t>
  </si>
  <si>
    <t>Total de jueces y juezas de Primera Instancia Materia penal</t>
  </si>
  <si>
    <t>Total de jueces y juezas de Primera Instancia Materia penal juvenil</t>
  </si>
  <si>
    <t>Total de jueces y juezas de Primera Instancia Materia no penal</t>
  </si>
  <si>
    <t>Total de jueces y juezas supernumerarios</t>
  </si>
  <si>
    <t>Total de jueces y juezas de gestión de apoyo y presidencia</t>
  </si>
  <si>
    <t>Total de jueces y juezas de I Instancia</t>
  </si>
  <si>
    <t>Total de jueces 1</t>
  </si>
  <si>
    <t>Total de jueces 2</t>
  </si>
  <si>
    <t>Total de jueces 3</t>
  </si>
  <si>
    <t>Total de jueces 4</t>
  </si>
  <si>
    <t>Total de jueces 5</t>
  </si>
  <si>
    <t>Total de jueces Supernumerario</t>
  </si>
  <si>
    <t>Magistrado</t>
  </si>
  <si>
    <t>Magistrado presidente</t>
  </si>
  <si>
    <t>Magistrado presidente de sala</t>
  </si>
  <si>
    <t>Magistrado suplente</t>
  </si>
  <si>
    <t>Magistrado Vicepresidente</t>
  </si>
  <si>
    <t>Total de fiscales y fiscalas por puesto</t>
  </si>
  <si>
    <t>Total de fiscales y fiscalas</t>
  </si>
  <si>
    <t>Total de fiscales y fiscalas Adjunto 1</t>
  </si>
  <si>
    <t>Total de fiscales y fiscalas Adjunto 2</t>
  </si>
  <si>
    <t>Total de fiscales y fiscalas Adjunto 3</t>
  </si>
  <si>
    <t>Total de fiscales y fiscalas Auxiliares</t>
  </si>
  <si>
    <t>Total de Fiscal General</t>
  </si>
  <si>
    <t>Total de defensores y defensoras por puesto</t>
  </si>
  <si>
    <t>Abogado de asistencia social</t>
  </si>
  <si>
    <t>Abogado de asistencia social superior</t>
  </si>
  <si>
    <t>Abogado de asistencia social coordinador 1</t>
  </si>
  <si>
    <t>Defensor público</t>
  </si>
  <si>
    <t>Defensor público coordinador 1</t>
  </si>
  <si>
    <t>Defensor público coordinador 2</t>
  </si>
  <si>
    <t>Defensor público Supervisor</t>
  </si>
  <si>
    <t>Jefe de Defensores Públicos</t>
  </si>
  <si>
    <t>Subjefe de Defensores Públicos</t>
  </si>
  <si>
    <t>Total de Investigadores</t>
  </si>
  <si>
    <t>Investigador 1</t>
  </si>
  <si>
    <t>Investigador 2</t>
  </si>
  <si>
    <t>Investigador vigilancia y seg</t>
  </si>
  <si>
    <t>Jefe de Investigación 1</t>
  </si>
  <si>
    <t>Jefe de Investigación 2</t>
  </si>
  <si>
    <t>Jefe de Investigación 3</t>
  </si>
  <si>
    <t>Jefe Dpto Investigación Criminal</t>
  </si>
  <si>
    <t>Jefe Profesional de Investigación 1</t>
  </si>
  <si>
    <t>Jefe Profesional de Investigación 2</t>
  </si>
  <si>
    <t>Oficial de Investigación</t>
  </si>
  <si>
    <t>Perito en investigación documental</t>
  </si>
  <si>
    <t>Total de abogados</t>
  </si>
  <si>
    <t>Pend</t>
  </si>
  <si>
    <t>Total de Tribunales de I Instancia</t>
  </si>
  <si>
    <t>Total de Fiscalías</t>
  </si>
  <si>
    <t>Total de Defensas Públicas</t>
  </si>
  <si>
    <t>Total de Delegaciones</t>
  </si>
  <si>
    <t>Total de Oficinas de Atención y Protección a la víctima</t>
  </si>
  <si>
    <t>BGral-Cinicial</t>
  </si>
  <si>
    <t>Circulante Inicial del año en I y II Instancia, OIJ, Ciencias Forenses, DP y APVT</t>
  </si>
  <si>
    <t>Circulante Inicial del año en I Instancia Jurisdiccional</t>
  </si>
  <si>
    <t>Circulante Inicial del año en I Instancia Jurisdiccional+Ministerio Público</t>
  </si>
  <si>
    <t>Circulante Inicial del año en I Instancia materias no penales</t>
  </si>
  <si>
    <t>Circulante Inicial del año en materia Civil</t>
  </si>
  <si>
    <t>Circulante Inicial del año en materia Cobro</t>
  </si>
  <si>
    <t>Circulante Inicial del año en materia Agraria</t>
  </si>
  <si>
    <t>Circulante Inicial del año en materia Familia</t>
  </si>
  <si>
    <t>Circulante Inicial del año en materia Contenciosa Administrativa</t>
  </si>
  <si>
    <t>Circulante Inicial del año en materia Trabajo</t>
  </si>
  <si>
    <t>Circulante Inicial del año en materia Contravenciones</t>
  </si>
  <si>
    <t>Circulante Inicial del año en materia Tránsito</t>
  </si>
  <si>
    <t>Circulante Inicial del año en materia Pensiones Alimentarias</t>
  </si>
  <si>
    <t>Circulante Inicial del año en materia Violencia Doméstica</t>
  </si>
  <si>
    <t>Circulante Inicial del año en materia Notarial</t>
  </si>
  <si>
    <t>Circulante Inicial del año en materia Penal</t>
  </si>
  <si>
    <t>Circulante Inicial del año en materia Penal (Tribunales penales)</t>
  </si>
  <si>
    <t>Circulante Inicial del año en materia Penal (Juzgados Penales)</t>
  </si>
  <si>
    <t>Circulante Inicial del año en materia Penal (Ministerio Público)</t>
  </si>
  <si>
    <t>Circulante Inicial del año en materia Penal Juvenil</t>
  </si>
  <si>
    <t>Circulante Inicial del año en materia Penal Juvenil (Jdos PJ)</t>
  </si>
  <si>
    <t>Circulante Inicial del año en materia Penal Juvenil (Fiscalías PJ)</t>
  </si>
  <si>
    <t>Circulante Inicial del año en única instancia-Materia Constitucional</t>
  </si>
  <si>
    <t>Circulante Inicial del año en materia Constitucional</t>
  </si>
  <si>
    <t>Circulante Inicial del año en Segunda Instancia</t>
  </si>
  <si>
    <t>Circulante Inicial del año en Trib. de Apelación Penal</t>
  </si>
  <si>
    <t>Circulante Inicial del año en Trib de Apelación PJ</t>
  </si>
  <si>
    <t>Circulante Inicial del año en Trib. Civiles</t>
  </si>
  <si>
    <t>Circulante Inicial del año en Trib. Laborales</t>
  </si>
  <si>
    <t>Circulante Inicial del año en Trib. Cont Adm</t>
  </si>
  <si>
    <t>Circulante Inicial del año en Trib. de Apelaciones Cont. Adm.(1120)</t>
  </si>
  <si>
    <t>Circulante Inicial del año en Trib. Agrario</t>
  </si>
  <si>
    <t>Circulante Inicial del año en Trib. Familia</t>
  </si>
  <si>
    <t>Circulante Inicial del año en Trib. PJ</t>
  </si>
  <si>
    <t>Circulante Inicial del año en Tribunal de Notariado</t>
  </si>
  <si>
    <t>Circulante Inicial del año en Dir Nacional de Notariado</t>
  </si>
  <si>
    <t>Circulante Inicial del año en Casación</t>
  </si>
  <si>
    <t>Circulante Inicial del año en Sala Primera</t>
  </si>
  <si>
    <t>Circulante Inicial del año en Trib. de Casación de lo Cont Adm</t>
  </si>
  <si>
    <t>Circulante Inicial del año en Sala Segunda</t>
  </si>
  <si>
    <t>Circulante Inicial del año en Sala Tercera</t>
  </si>
  <si>
    <t>Circulante Inicial del año en Sala Tercera (Sección PJ)</t>
  </si>
  <si>
    <t>Circulante Inicial del año en Trib Casación Penal</t>
  </si>
  <si>
    <t>Circulante Inicial del año en Trib. Casación PJ</t>
  </si>
  <si>
    <t>Circulante Inicial del año en OIJ</t>
  </si>
  <si>
    <t>Circulante Inicial del año en Ciencias Forenses</t>
  </si>
  <si>
    <t>Circulante Inicial del año en Defensa Pública</t>
  </si>
  <si>
    <t>Circulante Inicial del año en Defensa Pública-Laboral</t>
  </si>
  <si>
    <t>Circulante Inicial del año en Atención y Protección a víctimas y testigos</t>
  </si>
  <si>
    <t>Bgral-entrados</t>
  </si>
  <si>
    <t>Total de casos entrados en I y II Instancia, OIJ, Ciencias Forenses, DP y APVT</t>
  </si>
  <si>
    <r>
      <t xml:space="preserve">Total de casos entrados </t>
    </r>
    <r>
      <rPr>
        <b/>
        <sz val="9"/>
        <color theme="1"/>
        <rFont val="Calibri"/>
        <family val="2"/>
      </rPr>
      <t>brutos en I Instancia y ünica instancia</t>
    </r>
  </si>
  <si>
    <r>
      <t xml:space="preserve">Total de casos entrados </t>
    </r>
    <r>
      <rPr>
        <b/>
        <sz val="9"/>
        <color theme="1"/>
        <rFont val="Calibri"/>
        <family val="2"/>
      </rPr>
      <t>brutos en I Instancia Jurisdiccional</t>
    </r>
  </si>
  <si>
    <r>
      <t xml:space="preserve">Total de casos entrados </t>
    </r>
    <r>
      <rPr>
        <b/>
        <sz val="9"/>
        <color theme="1"/>
        <rFont val="Calibri"/>
        <family val="2"/>
      </rPr>
      <t>brutos en I Instancia Jurisdiccional+Ministerio Público</t>
    </r>
  </si>
  <si>
    <t>Total de casos entrados en I Instancia materias no penales</t>
  </si>
  <si>
    <t>Total de casos entrados en materia Civil</t>
  </si>
  <si>
    <t>Total de casos entrados en materia Cobro</t>
  </si>
  <si>
    <t>Total de casos entrados en materia Agraria</t>
  </si>
  <si>
    <t>Total de casos entrados en materia Familia</t>
  </si>
  <si>
    <t>Total de casos entrados en materia Contenciosa Administrativa</t>
  </si>
  <si>
    <t>Total de casos entrados en materia Trabajo</t>
  </si>
  <si>
    <t>Total de casos entrados en materia Contravenciones</t>
  </si>
  <si>
    <t>Total de casos entrados en materia Tránsito</t>
  </si>
  <si>
    <t>Total de casos entrados en materia Pensiones Alimentarias</t>
  </si>
  <si>
    <t>Total de casos entrados en materia Violencia Doméstica</t>
  </si>
  <si>
    <t>Total de casos entrados en materia Notarial</t>
  </si>
  <si>
    <t>Total de casos entrados en materia Penal</t>
  </si>
  <si>
    <t>Total de casos entrados en materia Penal (Tribunales penales)</t>
  </si>
  <si>
    <t>Total de casos entrados en materia Penal (Juzgados Penales)</t>
  </si>
  <si>
    <t>Total de casos entrados en materia Penal (Ministerio Público)</t>
  </si>
  <si>
    <t>Total de casos entrados en materia Penal Juvenil</t>
  </si>
  <si>
    <t>Total de casos entrados en materia Penal Juvenil (Jdos PJ)</t>
  </si>
  <si>
    <t>Total de casos entrados en materia Penal Juvenil (Fiscalías PJ)</t>
  </si>
  <si>
    <t>Total de casos entrados en única Instancia-Materia Constitucional</t>
  </si>
  <si>
    <t>Total de casos entrados en materia Constitucional</t>
  </si>
  <si>
    <t>Total de casos entrados en Segunda Instancia</t>
  </si>
  <si>
    <t>Total de casos entrados Trib. de Apelación Penal</t>
  </si>
  <si>
    <t>Total de casos entrados Trib de Apelación PJ</t>
  </si>
  <si>
    <t>Total de casos entrados Trib. Civiles</t>
  </si>
  <si>
    <t>Total de casos entrados Trib. Laborales</t>
  </si>
  <si>
    <t>Total de casos entrados Trib. Cont Adm</t>
  </si>
  <si>
    <t>Total de casos entrados Trib. de Apelaciones Cont. Adm.(1120)</t>
  </si>
  <si>
    <t>Total de casos entrados Trib. Agrario</t>
  </si>
  <si>
    <t>Total de casos entrados Trib. Familia</t>
  </si>
  <si>
    <t>Total de casos entrados Trib. PJ</t>
  </si>
  <si>
    <t>Total de casos entrados Tribunal de Notariado</t>
  </si>
  <si>
    <t>Total de casos entrados Dir Nacional de Notariado</t>
  </si>
  <si>
    <t>Total de casos entrados en Casación</t>
  </si>
  <si>
    <t>Total de casos entrados en Sala Primera</t>
  </si>
  <si>
    <t>Total de casos entrados Trib. de Casación de lo Cont Adm</t>
  </si>
  <si>
    <t>Total de casos entrados en Sala Segunda</t>
  </si>
  <si>
    <t>Total de casos entrados en Sala Tercera</t>
  </si>
  <si>
    <t>Total de casos entrados en Sala Tercera (Sección PJ)</t>
  </si>
  <si>
    <t>Total de casos entrados Trib Casación Penal</t>
  </si>
  <si>
    <t>Total de casos entrados Trib. Casación PJ</t>
  </si>
  <si>
    <t>Total de casos entrados en OIJ</t>
  </si>
  <si>
    <t>Total de casos entrados en Ciencias Forenses</t>
  </si>
  <si>
    <t>Total de casos entrados en Defensa Pública</t>
  </si>
  <si>
    <t>Total de casos entrados en Defensa Pública-Laboral</t>
  </si>
  <si>
    <t>Total de casos entrados en Atención y protección a víctimas y testigos</t>
  </si>
  <si>
    <t>Bgral-Legajos</t>
  </si>
  <si>
    <t>Total de legajos entrados en I Instancia materias no penales</t>
  </si>
  <si>
    <t>Total de legajos en materia Familia</t>
  </si>
  <si>
    <t>Total de legajos en materia Contenciosa Administrativa</t>
  </si>
  <si>
    <t>Total de legajos de ejecución entrados en materia Trabajo</t>
  </si>
  <si>
    <t>Bgral-reentrados</t>
  </si>
  <si>
    <t>Total de casos reentrados en I y II Instancia, OIJ, Ciencias Forenses, DP y APVT</t>
  </si>
  <si>
    <t>Total de casos reentrados en I Instancia</t>
  </si>
  <si>
    <t>Total de casos reentrados en I Instancia jurisdiccional</t>
  </si>
  <si>
    <t>Total de casos reentrados en I Instancia jurisdiccional+Ministerio Público</t>
  </si>
  <si>
    <t>Total de casos reentrados en I Instancia materias no penales</t>
  </si>
  <si>
    <t>Total de casos reentrados en materia Civil</t>
  </si>
  <si>
    <t>Total de casos reentrados en materia Cobro</t>
  </si>
  <si>
    <t>Total de casos reentrados en materia Agraria</t>
  </si>
  <si>
    <t>Total de casos reentrados en materia Familia</t>
  </si>
  <si>
    <t>Total de casos reentrados en materia Contenciosa Administrativa</t>
  </si>
  <si>
    <t>Total de casos reentrados en materia Trabajo</t>
  </si>
  <si>
    <t>Total de casos reentrados en materia Contravenciones</t>
  </si>
  <si>
    <t>Total de casos reentrados en materia Tránsito</t>
  </si>
  <si>
    <t>Total de casos reentrados en materia Pensiones Alimentarias</t>
  </si>
  <si>
    <t>Total de casos reentrados en materia Violencia Doméstica</t>
  </si>
  <si>
    <t>Total de casos reentrados en materia Notarial</t>
  </si>
  <si>
    <t>Total de casos reentrados en materia Penal</t>
  </si>
  <si>
    <t>Total de casos reentrados en materia Penal (Tribunales penales)</t>
  </si>
  <si>
    <t>Total de casos reentrados en materia Penal (Juzgados Penales)</t>
  </si>
  <si>
    <t>Total de casos reentrados en materia Penal (Ministerio Público)</t>
  </si>
  <si>
    <t>Total de casos reentrados en materia Penal Juvenil</t>
  </si>
  <si>
    <t>Total de casos reentrados en materia Penal Juvenil (Jdos PJ)</t>
  </si>
  <si>
    <t>Total de casos reentrados en materia Penal Juvenil (Fiscalía)</t>
  </si>
  <si>
    <t>Total de casos reentrados en única Instancia-Materia Constitucional</t>
  </si>
  <si>
    <t>Total de casos reentrados en materia Constitucional</t>
  </si>
  <si>
    <t>Total de casos reentrados en Segunda Instancia</t>
  </si>
  <si>
    <t>Total de casos reentrados Trib. de Apelación Penal</t>
  </si>
  <si>
    <t>Total de casos reentrados Trib de Apelación PJ</t>
  </si>
  <si>
    <t>Total de casos reentrados Trib. Civiles</t>
  </si>
  <si>
    <t>Total de casos reentrados Trib. Laborales</t>
  </si>
  <si>
    <t>Total de casos reentrados Trib. Cont Adm</t>
  </si>
  <si>
    <t>Total de casos reentrados Trib. de Apelaciones Cont. Adm.(1120)</t>
  </si>
  <si>
    <t>Total de casos reentrados Trib. Agrario</t>
  </si>
  <si>
    <t>Total de casos reentrados Trib. Familia</t>
  </si>
  <si>
    <t>Total de casos reentrados Trib. PJ</t>
  </si>
  <si>
    <t>Total de casos reentrados Tribunal de Notariado</t>
  </si>
  <si>
    <t>Total de casos reentrados Dir Nacional de Notariado</t>
  </si>
  <si>
    <t>Total de casos reentrados en Casación</t>
  </si>
  <si>
    <t>Total de casos reentrados en Sala Primera</t>
  </si>
  <si>
    <t>Total de casos reentrados Trib. de Casación de lo Cont Adm</t>
  </si>
  <si>
    <t>Total de casos reentrados en Sala Segunda</t>
  </si>
  <si>
    <t>Total de casos reentrados en Sala Tercera</t>
  </si>
  <si>
    <t>Total de casos reentrados en Sala Tercera (Sección PJ)</t>
  </si>
  <si>
    <t>Total de casos reentrados Trib Casación Penal</t>
  </si>
  <si>
    <t>Total de casos reentrados Trib. Casación PJ</t>
  </si>
  <si>
    <t>Total de casos reentrados en OIJ</t>
  </si>
  <si>
    <t>Total de casos reentrados en Ciencias Forenses</t>
  </si>
  <si>
    <t>Total de casos reentrados en Defensa Pública</t>
  </si>
  <si>
    <t>Total de casos reentrados en Defensa Pública-Laboral</t>
  </si>
  <si>
    <t>Total de casos reentrados en Atención y Protección a víctimas y testigos</t>
  </si>
  <si>
    <t>Bgral-reactivados</t>
  </si>
  <si>
    <t>Total de casos reactivados en I Instancia</t>
  </si>
  <si>
    <t>Total de casos reactivados en materia Civil</t>
  </si>
  <si>
    <t>Total de casos reactivados en materia Cobro</t>
  </si>
  <si>
    <t>Bgral-TP</t>
  </si>
  <si>
    <t>Total de casos entrados por apertura de testimonios de pieza en I Instancia</t>
  </si>
  <si>
    <t>Total de casos entrados por apertura de testimonios de pieza en I Instancia jurisdiccional</t>
  </si>
  <si>
    <t>Total de casos entrados por apertura de testimonios de pieza en I Instancia jurisdiccional+Ministerio Público</t>
  </si>
  <si>
    <t>Total de casos entrados por apertura de testimonios de pieza en I Instancia materias no penales</t>
  </si>
  <si>
    <t>Total de casos entrados por apertura de testimonios de pieza en materia Civil</t>
  </si>
  <si>
    <t>Total de casos entrados por apertura de testimonios de pieza en materia Cobro</t>
  </si>
  <si>
    <t>Total de casos entrados por apertura de testimonios de pieza en materia Agraria</t>
  </si>
  <si>
    <t>Total de casos entrados por apertura de testimonios de pieza en materia Familia</t>
  </si>
  <si>
    <t>Total de casos entrados por apertura de testimonios de pieza en materia Contenciosa Administrativa</t>
  </si>
  <si>
    <t>Total de casos entrados por apertura de testimonios de pieza en materia Trabajo</t>
  </si>
  <si>
    <t>Total de casos entrados por apertura de testimonios de pieza en materia Contravenciones</t>
  </si>
  <si>
    <t>Total de casos entrados por apertura de testimonios de pieza en materia Tránsito</t>
  </si>
  <si>
    <t>Total de casos entrados por apertura de testimonios de pieza materia Pensiones Alimentarias</t>
  </si>
  <si>
    <t>Total de casos entrados por apertura de testimonios de pieza en materia Violencia Doméstica</t>
  </si>
  <si>
    <t>Total de casos entrados por apertura de testimonios de pieza en materia Notarial</t>
  </si>
  <si>
    <t>Total de casos entrados por apertura de testimonio de piezas en materia penal</t>
  </si>
  <si>
    <t>Total de casos entrados por apertura de testimonio de piezas en materia penal (Tribunales penales)</t>
  </si>
  <si>
    <t>Total de casos entrados por apertura de testimonio de piezas en materia penal (Juzgados penales)</t>
  </si>
  <si>
    <t>Total de casos entrados por apertura de testimonio de piezas en materia penal (Ministerio Público)</t>
  </si>
  <si>
    <t>Total de casos entrados por apertura de testimonio de piezas en materia Penal Juvenil</t>
  </si>
  <si>
    <t>Total de casos entrados por apertura de testimonio de piezas en materia Penal Juvenil (Jdos PJ)</t>
  </si>
  <si>
    <t>Total de casos entrados por apertura de testimonio de piezas en materia Penal Juvenil (Fiscalías PJ)</t>
  </si>
  <si>
    <t>Bgral-Terminados</t>
  </si>
  <si>
    <t>Total de casos terminados en I y II Instancia, OIJ, Ciencias Forenses, DP y APVT</t>
  </si>
  <si>
    <t>Total de casos terminados en I Instancia</t>
  </si>
  <si>
    <t>Total de casos terminados en I Instancia Jurisdiccional</t>
  </si>
  <si>
    <t>Total de casos terminados en I Instancia Jurisdiccional+Ministerio Público</t>
  </si>
  <si>
    <t>Total de casos terminados en I Instancia materias no penales</t>
  </si>
  <si>
    <t>Total de casos terminados en materia Civil</t>
  </si>
  <si>
    <t>Total de casos terminados en materia Cobro</t>
  </si>
  <si>
    <t>Total de casos terminados en materia Agraria</t>
  </si>
  <si>
    <t>Total de casos terminados en materia Familia</t>
  </si>
  <si>
    <t>Total de casos terminados en materia Contenciosa Administrativa</t>
  </si>
  <si>
    <t>Total de casos terminados en materia Trabajo</t>
  </si>
  <si>
    <t>Total de casos terminados en materia Contravenciones</t>
  </si>
  <si>
    <t>Total de casos terminados en materia Tránsito</t>
  </si>
  <si>
    <t>Total de casos terminados en materia Pensiones Alimentarias</t>
  </si>
  <si>
    <t>Total de casos terminados en materia Violencia Doméstica</t>
  </si>
  <si>
    <t>Total de casos terminados en materia Notarial</t>
  </si>
  <si>
    <t>Total de casos terminados en materia Penal</t>
  </si>
  <si>
    <t>Total de casos terminados en Tribunales Penales</t>
  </si>
  <si>
    <t>Total de casos terminados en Juzgados Penales</t>
  </si>
  <si>
    <t>Total de casos terminados en Ministerio Público</t>
  </si>
  <si>
    <t>Total de casos terminados en materia Penal Juvenil</t>
  </si>
  <si>
    <t>Total de casos terminados en materia Penal Juvenil (Jdos PJ)</t>
  </si>
  <si>
    <t>Total de casos terminados en Fiscalías Penales Juveniles</t>
  </si>
  <si>
    <t>Total de casos terminados en única Instancia-Materia Constitucional</t>
  </si>
  <si>
    <t>Total de casos terminados en materia Constitucional</t>
  </si>
  <si>
    <t>Total de casos terminados en Segunda Instancia</t>
  </si>
  <si>
    <t>Total de casos terminados Trib. de Apelación Penal</t>
  </si>
  <si>
    <t>Total de casos terminados Trib de Apelación PJ</t>
  </si>
  <si>
    <t>Total de casos terminados Trib. Civiles</t>
  </si>
  <si>
    <t>Total de casos terminados Trib. Laborales</t>
  </si>
  <si>
    <t>Total de casos terminados Trib. Cont Adm</t>
  </si>
  <si>
    <t>Total de casos terminados Trib. de Apelaciones Cont. Adm(1120)</t>
  </si>
  <si>
    <t>Total de casos terminados Trib. Agrario</t>
  </si>
  <si>
    <t>Total de casos terminados Trib. Familia</t>
  </si>
  <si>
    <t>Total de casos terminados Trib. PJ</t>
  </si>
  <si>
    <t>Total de casos terminados Tribunal de Notariado</t>
  </si>
  <si>
    <t>Total de casos terminados Dir Nacional de Notariado</t>
  </si>
  <si>
    <t>Total de casos terminados en Casación</t>
  </si>
  <si>
    <t>Total de casos terminados en Sala Primera</t>
  </si>
  <si>
    <t>Total de casos terminados Trib. de Casación de lo Cont Adm</t>
  </si>
  <si>
    <t>Total de casos terminados en Sala Segunda</t>
  </si>
  <si>
    <t>Total de casos terminados en Sala Tercera</t>
  </si>
  <si>
    <t>Total de casos terminados en Sala Tercera (Sección PJ)</t>
  </si>
  <si>
    <t>Total de casos terminados Trib Casación Penal</t>
  </si>
  <si>
    <t>Total de casos terminados Trib. Casación PJ</t>
  </si>
  <si>
    <t>Total de casos terminados en OIJ</t>
  </si>
  <si>
    <t>Total de casos terminados en Ciencias Forenses</t>
  </si>
  <si>
    <t>Total de casos terminados en Defensa Pública</t>
  </si>
  <si>
    <t>Total de casos terminados en Defensa Pública-laboral</t>
  </si>
  <si>
    <t>Total de casos terminados en Atención y Protección a Víctimas y testigos</t>
  </si>
  <si>
    <t>Bgral-Inactivos</t>
  </si>
  <si>
    <t xml:space="preserve">Total de casos inactivos en I Instancia, OIJ, DP </t>
  </si>
  <si>
    <t>Total de casos inactivos en I Instancia</t>
  </si>
  <si>
    <t>Total de casos inactivos en materia Civil</t>
  </si>
  <si>
    <t>Total de casos inactivos en materia Cobro</t>
  </si>
  <si>
    <t>Total de casos inactivos en materia Agraria</t>
  </si>
  <si>
    <t>Total de casos inactivos en materia Familia</t>
  </si>
  <si>
    <t>Total de casos inactivos en materia Contenciosa Administrativa</t>
  </si>
  <si>
    <t>Total de casos inactivos en materia Trabajo</t>
  </si>
  <si>
    <t>Total de casos inactivos en materia Contravenciones</t>
  </si>
  <si>
    <t>Total de casos inactivos en materia Tránsito</t>
  </si>
  <si>
    <t>Total de casos inactivos en materia Pensiones Alimentarias</t>
  </si>
  <si>
    <t>Total de casos inactivos en materia Violencia Doméstica</t>
  </si>
  <si>
    <t>Total de casos inactivos en materia Notarial</t>
  </si>
  <si>
    <t>Total de casos inactivos en OIJ</t>
  </si>
  <si>
    <t>Total de casos inactivos en Ciencias Forenses</t>
  </si>
  <si>
    <t>Total de casos inactivos en Defensa Pública</t>
  </si>
  <si>
    <t>Bgral-CF</t>
  </si>
  <si>
    <t>Circulante final del Año en I y II Instancia, OIJ, Ciencias Forenses, DP y APVT</t>
  </si>
  <si>
    <t>Circulante final del año en I Instancia</t>
  </si>
  <si>
    <t>Circulante final del año en I Instancia jurisdiccional</t>
  </si>
  <si>
    <t>Circulante final del año en I Instancia materias no penales</t>
  </si>
  <si>
    <t>Circulante final del año en materia Civil</t>
  </si>
  <si>
    <t>Circulante final del año en materia Cobro</t>
  </si>
  <si>
    <t>Circulante final del año en materia Agraria</t>
  </si>
  <si>
    <t>Circulante final del año en materia Familia</t>
  </si>
  <si>
    <t>Circulante final del año en materia Contenciosa Administrativa</t>
  </si>
  <si>
    <t>Circulante final del año en materia Trabajo</t>
  </si>
  <si>
    <t>Circulante final del año en materia Contravenciones</t>
  </si>
  <si>
    <t>Circulante final del año en materia Tránsito</t>
  </si>
  <si>
    <t>Circulante final del año en materia Pensiones alimentarias</t>
  </si>
  <si>
    <t>Circulante final del año en materia Violencia Doméstica</t>
  </si>
  <si>
    <t>Circulante final del año en materia Notarial</t>
  </si>
  <si>
    <t>Circulante final del año en materia penal</t>
  </si>
  <si>
    <t>Circulante final del año en materia Tribunales</t>
  </si>
  <si>
    <t>Circulante final del año en materia Juzgados</t>
  </si>
  <si>
    <t>Circulante final del año en materia Fiscalías</t>
  </si>
  <si>
    <t>Circulante final del año en materia penal juvenil</t>
  </si>
  <si>
    <t>Circulante final del año en materia penal juvenil (Jdos PJ)</t>
  </si>
  <si>
    <t>Circulante final del año en materia Fiscalías Penales Juveniles</t>
  </si>
  <si>
    <t>Circulante final del año en única instancia-Materia Constitucional</t>
  </si>
  <si>
    <t>Circulante final del año en materia Constitucional</t>
  </si>
  <si>
    <t>Circulante final del año en II Instancia</t>
  </si>
  <si>
    <t>Circulante final del año en Trib. de Apelación Penal</t>
  </si>
  <si>
    <t>Circulante final del año en Trib. de Apelación PJ</t>
  </si>
  <si>
    <t>Circulante final del año en Trib. Civiles</t>
  </si>
  <si>
    <t>Circulante final del año en Trib. Laborales</t>
  </si>
  <si>
    <t>Circulante final del año en Trib Cont. Adm.</t>
  </si>
  <si>
    <t>Circulante final del año en Trib. de Apelación Cont. Adm.(1120)</t>
  </si>
  <si>
    <t>Circulante final del año en Trib Agrario</t>
  </si>
  <si>
    <t>Circulante final del año en Trib. Familia</t>
  </si>
  <si>
    <t>Circulante final del año en Trib. PJ</t>
  </si>
  <si>
    <t>Circulante final del año en Tribunal de Notariado</t>
  </si>
  <si>
    <t>Circulante final del año en Dir Nacional de Notariado</t>
  </si>
  <si>
    <t>Circulante final del año en Casación</t>
  </si>
  <si>
    <t>Circulante final del año en Sala Primera</t>
  </si>
  <si>
    <t>Circulante final del año en Trib. De Casación de lo Cont. Adm.</t>
  </si>
  <si>
    <t>Circulante final del año en Sala Segunda</t>
  </si>
  <si>
    <t>Circulante final del año en Sala Tercera</t>
  </si>
  <si>
    <t>Circulante final del año en Sala Tercera PJ</t>
  </si>
  <si>
    <t>Circulante final del año en Trib. Casación Penal</t>
  </si>
  <si>
    <t>Circulante final del año en Trib. Casación PJ</t>
  </si>
  <si>
    <t>Circulante final del año en OIJ</t>
  </si>
  <si>
    <t>Circulante final del año en Ciencias Forenses</t>
  </si>
  <si>
    <t>Circulante final del año en Defensa Pública</t>
  </si>
  <si>
    <t>Circulante final del año en Defensa Pública-Laboral</t>
  </si>
  <si>
    <t>Circulante final del año en Atención y Protección a víctimas y testigos</t>
  </si>
  <si>
    <t>Bgral-CF-desglose</t>
  </si>
  <si>
    <t>Total de Casos pendientes al iniciar el período en I Instancia Jurisdiccional-Trámite</t>
  </si>
  <si>
    <t>Total de Casos pendientes al iniciar el período en I Instancia Jurisdiccional-Ejecución y R.I.</t>
  </si>
  <si>
    <t>Total de Casos pendientes al final del período en I y II Instancia, OIJ, Ciencias Forenses, DP y APVT</t>
  </si>
  <si>
    <t>Total de Casos pendientes al final del período en I Instancia</t>
  </si>
  <si>
    <t>Total de Casos pendientes al final del período en I Instancia Jurisdiccional-Trámite</t>
  </si>
  <si>
    <t>Total de Casos pendientes al final del período en I Instancia Jurisdiccional-Ejecución y R.I.</t>
  </si>
  <si>
    <t>Total de Casos pendientes al final del período en I Instancia-Trámite</t>
  </si>
  <si>
    <t>Total de Casos pendientes al final del período en I Instancia-Ejecución y Resoluciones intermedias</t>
  </si>
  <si>
    <t>Total de Casos pendientes al final del período en I Instancia No Penal-Trámite</t>
  </si>
  <si>
    <t>Total de Casos pendientes al final del período en I Instancia No Penal-Ejecución</t>
  </si>
  <si>
    <t>Total de Casos pendientes al final del período en I Instancia Penal-Trámite</t>
  </si>
  <si>
    <t>Total de Casos pendientes al final del período en I Instancia Penal-Resoluciones Provisionales</t>
  </si>
  <si>
    <t>Total de Casos pendientes al final del período en I Instancia Penal Juvenil-Trámite</t>
  </si>
  <si>
    <t>Total de Casos pendientes al final del período en I Instancia Penal Juvenil-Resoluciones Provisionales</t>
  </si>
  <si>
    <t>Total de casos pendientes al final del período en materia Civil (Trámite)emanda/demostrativa/conclusiva)</t>
  </si>
  <si>
    <t>Total de casos pendientes al final del período en materia Civil (Ejecución)</t>
  </si>
  <si>
    <t>Total de casos pendientes al final del período en materia Cobro (Trámite)</t>
  </si>
  <si>
    <t>Total de casos pendientes al final del período en materia Cobro (Ejecución)</t>
  </si>
  <si>
    <t>Total de casos pendientes al final del período en materia Agraria (Trámite)</t>
  </si>
  <si>
    <t>Total de casos pendientes al final del período en materia Agraria (Ejecución)</t>
  </si>
  <si>
    <t>Total de casos pendientes al final del período en materia Familia (trámite)</t>
  </si>
  <si>
    <t>Total de casos pendientes al final del período en materia Familia (Ejecución)</t>
  </si>
  <si>
    <t>Total de casos pendientes al final del período en materia Contenciosa Administrativa (Trámite)</t>
  </si>
  <si>
    <t>Total de casos pendientes al final del período en materia Contenciosa Administrativa (Ejecución)</t>
  </si>
  <si>
    <t>Total de casos pendientes al final del período en materia Trabajo (Trámite)</t>
  </si>
  <si>
    <t>Total de casos pendientes al final del período en materia Trabajo (Ejecución)</t>
  </si>
  <si>
    <t>Total de casos pendientes al final del período en materia Contravenciones (Trámite)</t>
  </si>
  <si>
    <t>Total de casos pendientes al final del período en materia Contravenciones (Ejecución)</t>
  </si>
  <si>
    <t>Total de casos pendientes al final del período en materia Tránsito (Tramite)</t>
  </si>
  <si>
    <t>Total de casos pendientes al final del período en materia Tránsito (Ejecución)</t>
  </si>
  <si>
    <t>Total de casos pendientes al final del período en materia Pensiones Alimentarias (Trámite)</t>
  </si>
  <si>
    <t>Total de casos pendientes al final del período en materia Pensiones Alimentarias (Ejecución)</t>
  </si>
  <si>
    <t>Total de casos pendientes al final del período en materia Violencia Doméstica (Trámite)</t>
  </si>
  <si>
    <t>Total de casos pendientes al final del período en materia Violencia Doméstica (Seguimiento)</t>
  </si>
  <si>
    <t>Total de casos pendientes al final del período en materia Notarial (Trámite)</t>
  </si>
  <si>
    <t>Total de casos pendientes al final del período en materia Notarial (Ejecución)</t>
  </si>
  <si>
    <t>Total de casos pendientes al final del período en materia Tribunales (Trámite)</t>
  </si>
  <si>
    <t>Total de casos pendientes al final del período en materia Tribunales (Resolución Intermedia)</t>
  </si>
  <si>
    <t>Total de casos pendientes al final del período en materia Tribunales -SPP-Medida Alterna</t>
  </si>
  <si>
    <t>Total de casos pendientes al final del período en materia Tribunales -Conc Cond-Medida Alterna</t>
  </si>
  <si>
    <t>Total de casos pendientes al final del período en materia Tribunales -Reparación del Daño-Medida alterna</t>
  </si>
  <si>
    <t>Total de casos pendientes al final del período en materia Tribunales -Rebeldía</t>
  </si>
  <si>
    <t>Total de casos pendientes al final del período en materia Tribunales -Susp y otros</t>
  </si>
  <si>
    <t>Total de casos pendientes al final del período en materia Tribunales -Pago de multa</t>
  </si>
  <si>
    <t>Total de casos pendientes al final del período en materia Tribunales -Otros</t>
  </si>
  <si>
    <t>Total de casos pendientes al final del período en materia Juzgados Penales (Trámite)</t>
  </si>
  <si>
    <t>Total de casos pendientes al final del período en materia Juzgados Penales (Resolución Intermedia)</t>
  </si>
  <si>
    <t>Total de casos pendientes al final del período en materia Juzgados Penales -SPP-Medida Alterna</t>
  </si>
  <si>
    <t>Total de casos pendientes al final del período en materia Juzgados Penales -SPP-Medida Alterna JR</t>
  </si>
  <si>
    <t>Total de casos pendientes al final del período en materia Juzgados Penales -Conc Cond -Medida Alterna</t>
  </si>
  <si>
    <t>Total de casos pendientes al final del período en materia Juzgados Penales -Conc Cond -Medida AlternaJR</t>
  </si>
  <si>
    <t>Total de casos pendientes al final del período en materia Juzgados Penales -Rebeldía</t>
  </si>
  <si>
    <t>Total de casos pendientes al final del período en materia Juzgados Penales- Susp otros</t>
  </si>
  <si>
    <t>Total de casos pendientes al final del período en materia Juzgados Penales- Otros</t>
  </si>
  <si>
    <t>Total de casos pendientes al final del período en materia Ministerio Público (Trámite)</t>
  </si>
  <si>
    <t>Total de casos pendientes al final del período en materia Ministerio Público (Resolución Intermedia)</t>
  </si>
  <si>
    <t>Total de casos pendientes al final del período en materia Ministerio Público (Circulante Pasivo)</t>
  </si>
  <si>
    <t>Total de casos pendientes al final del período en materia Penal Juvenil (Jdos PJ) Trámite</t>
  </si>
  <si>
    <t>Total de casos pendientes al final del período en materia Penal Juvenil ( Juzgados) Resolución Provisional</t>
  </si>
  <si>
    <t>Total de casos pendientes al final del período en materia Penal Juvenil (Jdos PJ) Rebeldía</t>
  </si>
  <si>
    <t>Total de casos pendientes al final del período en materia Penal Juvenil (Jdos PJ) Ausencia</t>
  </si>
  <si>
    <t>Total de casos pendientes al final del período en materia Penal Juvenil (Jdos PJ) Sobreseimiento provisional</t>
  </si>
  <si>
    <t>Total de casos pendientes al final del período en materia Penal Juvenil (Jdos PJ) Medida alterna-Conc Cond</t>
  </si>
  <si>
    <t>Total de casos pendientes al final del período en materia Penal Juvenil (Jdos PJ) Medida alterna-SPP</t>
  </si>
  <si>
    <t>Total de casos pendientes al final del período en materia Penal Juvenil (Jdos PJ) Medida alterna-Reparación del daño</t>
  </si>
  <si>
    <t>Total de casos pendientes al final del período en materia Penal Juvenil -Just Rest(Jdos PJ) Medida alterna-Conc Cond</t>
  </si>
  <si>
    <t>Total de casos pendientes al final del período en materia Penal Juvenil -Just Rest(Jdos PJ) Medida alterna-SPP</t>
  </si>
  <si>
    <t>Total de casos pendientes al final del período en materia Penal Juvenil -Just Rest(Jdos PJ) Medida alterna-Reparación del daño</t>
  </si>
  <si>
    <t>Total de casos pendientes al final del período en materia Penal Juvenil ( Fiscalía ) Trámite</t>
  </si>
  <si>
    <t>Total de casos pendientes al final del período en materia Penal Juvenil ( Fiscalía) Resolución Provisional</t>
  </si>
  <si>
    <t>Total de casos pendientes al final del período en única instancia Trámite-Materia Constitucional</t>
  </si>
  <si>
    <t>Total de casos pendientes al final del período en única instancia Suspendidos-Materia Constitucional</t>
  </si>
  <si>
    <t>Circulante final del año en Trib. de Apelación Penal-Trámite</t>
  </si>
  <si>
    <t>Circulante final del año en Trib. de Apelación Penal-Suspendido</t>
  </si>
  <si>
    <t>Circulante final del año en Trib. Familia-Trámite</t>
  </si>
  <si>
    <t>Circulante final del año en Trib. Familia-Suspendido</t>
  </si>
  <si>
    <t>Circulante final del año en Sala Primera-Trámite</t>
  </si>
  <si>
    <t>Circulante final del año en Sala Primera -Suspendido</t>
  </si>
  <si>
    <t>Circulante final del año en Trib. de Casación de lo Cont. Adm. -Trámite</t>
  </si>
  <si>
    <t>Circulante final del año en Trib. de Casación de lo Cont. Adm. -Suspendido</t>
  </si>
  <si>
    <t>Circulante final del año en Sala Segunda-Trámite</t>
  </si>
  <si>
    <t>Circulante final del año en Sala Segunda -Suspendido</t>
  </si>
  <si>
    <t>Total de extradiciones</t>
  </si>
  <si>
    <t>Total de delitos de acción privada entradas en los Tribunales penales</t>
  </si>
  <si>
    <t>Total de casos entrados en flagrancia en los tribunales penales</t>
  </si>
  <si>
    <t>Total de casos terminados en flagrancia en los tribunales penales</t>
  </si>
  <si>
    <t>Casos entrados en el I Circuito Judicial de San José</t>
  </si>
  <si>
    <t>Casos entrados en el II Circuito Judicial de San José</t>
  </si>
  <si>
    <t>Casos entrados en el III Circuito Judicial de San José</t>
  </si>
  <si>
    <t>Casos entrados en el I Circuito Judicial de Alajuela</t>
  </si>
  <si>
    <t>Casos entrados en el II Circuito Judicial de Alajuela</t>
  </si>
  <si>
    <t>Casos entrados en el III Circuito Judicial de Alajuela</t>
  </si>
  <si>
    <t>Casos entrados en el Circuito Judicial de Cartago</t>
  </si>
  <si>
    <t>Casos entrados en el Circuito Judicial de Heredia</t>
  </si>
  <si>
    <t>Casos entrados en el I Circuito Judicial de Guanacaste</t>
  </si>
  <si>
    <t>Casos entrados en el II Circuito Judicial de Guanacaste</t>
  </si>
  <si>
    <t>Casos entrados en el II Circuito Judicial de Puntarenas</t>
  </si>
  <si>
    <t>Casos entrados en el I Circuito Judicial de Zona Sur</t>
  </si>
  <si>
    <t>Casos entrados en el II Circuito Judicial de Zona Sur</t>
  </si>
  <si>
    <t>Casos entrados en el I Circuito Judicial de Zona Atlántica</t>
  </si>
  <si>
    <t>Casos entrados en el II Circuito Judicial de Zona Atlántica</t>
  </si>
  <si>
    <t>Cantidad de Casos Nuevos (entrada neta al Sistema Judicial)</t>
  </si>
  <si>
    <t>Total de entrados netos en I Instancia materias no penales</t>
  </si>
  <si>
    <t>Total de entrados netos en materia Civil</t>
  </si>
  <si>
    <t>Total de entrados netos en materia Cobro</t>
  </si>
  <si>
    <t>Total de entrados netos en materia Agraria</t>
  </si>
  <si>
    <t>Total de entrados netos en materia Familia</t>
  </si>
  <si>
    <t>Total de entrados netos en materia Contenciosa Administrativa</t>
  </si>
  <si>
    <t>Total de entrados netos en materia Trabajo</t>
  </si>
  <si>
    <t>Total de entrados netos en materia Contravenciones</t>
  </si>
  <si>
    <t>Total de entrados netos en materia Tránsito</t>
  </si>
  <si>
    <t>Total de entrados netos en materia Pensiones Alimentarias</t>
  </si>
  <si>
    <t>Total de entrados netos en materia Violencia Doméstica</t>
  </si>
  <si>
    <t>Total de entrados netos en materia Notarial</t>
  </si>
  <si>
    <t>Total de entrados netos en I Instancia materia penal sin OIJ</t>
  </si>
  <si>
    <t>Total de entrados netos en I Instancia materia penal con OIJ</t>
  </si>
  <si>
    <t>Total de entrados netos en I Instancia materia penal juvenil</t>
  </si>
  <si>
    <t>Total de entrados netos en Única Instancia-Materia Constitucional</t>
  </si>
  <si>
    <t>Total de terminados netos en I y II Instancia, OIJ, Ciencias Forenses, DP y APVT</t>
  </si>
  <si>
    <t>Total de terminados netos en I Instancia</t>
  </si>
  <si>
    <t>Total de terminados netos en I Instancia Jurisdiccional</t>
  </si>
  <si>
    <t>Total de terminados netos en I Instancia materias no penales</t>
  </si>
  <si>
    <t>Total de terminados netos en materia Civil</t>
  </si>
  <si>
    <t>Total de terminados netos en materia Cobro</t>
  </si>
  <si>
    <t>Total de terminados netos en materia Agraria</t>
  </si>
  <si>
    <t>Total de terminados netos en materia Familia</t>
  </si>
  <si>
    <t>Total de terminados netos en materia Contenciosa Administrativa</t>
  </si>
  <si>
    <t>Total de terminados netos en materia Trabajo</t>
  </si>
  <si>
    <t>Total de terminados netos en materia Contravenciones</t>
  </si>
  <si>
    <t>Total de terminados netos en materia Tránsito</t>
  </si>
  <si>
    <t>Total de terminados netos en materia Pensiones Alimentarias</t>
  </si>
  <si>
    <t>Total de terminados netos en materia Violencia Doméstica</t>
  </si>
  <si>
    <t>Total de terminados netos en materia Notarial</t>
  </si>
  <si>
    <t>Total de terminados netos en I Instancia materia penal</t>
  </si>
  <si>
    <t>Casos terminados Tribunales Penales Netos</t>
  </si>
  <si>
    <t>Casos terminados Juzgados Penales Netos</t>
  </si>
  <si>
    <t>Casos terminados Fiscalías netas</t>
  </si>
  <si>
    <t>Total de terminados netos en I Instancia materia penal juvenil</t>
  </si>
  <si>
    <t>Casos terminados Juzgados Penales Juveniles Netos</t>
  </si>
  <si>
    <t>Casos terminados Fiscalías Penales Juveniles Netos</t>
  </si>
  <si>
    <t>Total de terminados netos en II Instancia</t>
  </si>
  <si>
    <t>Total de terminados netos en Casación</t>
  </si>
  <si>
    <t>Terminados-incompetencias</t>
  </si>
  <si>
    <t>Total de Incompetencias de I y II Instancia</t>
  </si>
  <si>
    <t>Total de Incompetencias de I Instancia Jurisdiccional</t>
  </si>
  <si>
    <t>Total de Incompetencias de I Instancia materias no penales</t>
  </si>
  <si>
    <t>Total de terminados por incompetencias-Materia Civil</t>
  </si>
  <si>
    <t>Total de terminados por incompetencias-Materia Cobro</t>
  </si>
  <si>
    <t>Total de terminados por incompetencias-Materia Agraria</t>
  </si>
  <si>
    <t>Total de terminados por incompetencias-Materia Familia</t>
  </si>
  <si>
    <t>Total de terminados por incompetencias-Materia Contenciosa Administrativa</t>
  </si>
  <si>
    <t>Total de terminados por incompetencias-Materia Trabajo</t>
  </si>
  <si>
    <t>Total de terminados por incompetencias-Materia Contravenciones</t>
  </si>
  <si>
    <t>Total de terminados por incompetencias-Materia Tránsito</t>
  </si>
  <si>
    <t>Total de terminados por incompetencias-Materia Pensiones Alimentarias</t>
  </si>
  <si>
    <t>Total de terminados por incompetencias-Materia Violencia Doméstica</t>
  </si>
  <si>
    <t>Total de terminados por incompetencias-Materia Notarial</t>
  </si>
  <si>
    <t>Total de incompetencias en materia Penal (incompetencias de Tribunales)</t>
  </si>
  <si>
    <t>Total de terminados por incompetencias-Tribunales Penales</t>
  </si>
  <si>
    <t>Total de terminados por incompetencias-Juzgados penales</t>
  </si>
  <si>
    <t>Total de terminados por incompetencias-Ministerio Público</t>
  </si>
  <si>
    <t>Total de incompetencias materia Penal Juvenil</t>
  </si>
  <si>
    <t>Total de terminados por incompetencias en materia Penal Juvenil (Jdos PJ)</t>
  </si>
  <si>
    <t>Total de terminados por incompetencias en materia Penal Juvenil (Fiscalías)</t>
  </si>
  <si>
    <t>Total de Incompetencias de II Instancia</t>
  </si>
  <si>
    <t>Total de terminados por incompetencias en Trib. de Apelación Penal</t>
  </si>
  <si>
    <t>Total de terminados por incompetencias en Trib de Apelación PJ</t>
  </si>
  <si>
    <t>Total de terminados por incompetencias en Trib. Civiles</t>
  </si>
  <si>
    <t>Total de terminados por incompetencias en Trib. Laborales</t>
  </si>
  <si>
    <t>Total de terminados por incompetencias en Trib.  Cont. Adm. (1011)</t>
  </si>
  <si>
    <t>Total de terminados por incompetencias en Trib. de Apelaciones Cont. Adm. (auto de pase) 1120</t>
  </si>
  <si>
    <t>Total de terminados por incompetencias en Trib. Agrario</t>
  </si>
  <si>
    <t>Total de terminados por incompetencias en Trib. Familia</t>
  </si>
  <si>
    <t>Total de terminados por incompetencias en Trib. PJ</t>
  </si>
  <si>
    <t>Total de terminados por incompetencias en Tribunal de Notariado</t>
  </si>
  <si>
    <t>Total de terminados por incompetencias en Dir Nacional de Notariado</t>
  </si>
  <si>
    <t>Total de Incompetencias de Casación</t>
  </si>
  <si>
    <t>Total de terminados por auto pase en Sala Primera</t>
  </si>
  <si>
    <t>Total de terminados por autopase en Trib. de Casación de lo Cont Adm 0161</t>
  </si>
  <si>
    <t>Total de terminados por autopase en Sala Segunda</t>
  </si>
  <si>
    <t>Total de terminados por incompetencias en admisibilidad en Sala Tercera</t>
  </si>
  <si>
    <t>Total de terminados por incompetencias en admisibilidad Sala Tercera (Sección PJ)</t>
  </si>
  <si>
    <t>Total de terminados por incompetencias en Trib Casación Penal</t>
  </si>
  <si>
    <t>Total de terminados por incompetencias en Trib. Casación PJ</t>
  </si>
  <si>
    <t>Terminados-sentencias</t>
  </si>
  <si>
    <t>Total de casos terminados por sentencia en I Instancia</t>
  </si>
  <si>
    <t>Total de casos terminados por sentencia en I Instancia materias no penales</t>
  </si>
  <si>
    <t>Total de terminados por sentencia -Materia Civil</t>
  </si>
  <si>
    <t>Total de terminados por sentencia -Materia Cobro</t>
  </si>
  <si>
    <t>Total de terminados por sentencia -Materia Agraria</t>
  </si>
  <si>
    <t>Total de terminados por sentencia -Materia Familia</t>
  </si>
  <si>
    <t>Total de terminados por sentencia -Materia Contenciosa Administrativa</t>
  </si>
  <si>
    <t>Total de terminados por sentencia -Materia Trabajo</t>
  </si>
  <si>
    <t>Total de terminados por sentencia -Materia Contravenciones</t>
  </si>
  <si>
    <t>Total de terminados por sentencia -Materia Tránsito</t>
  </si>
  <si>
    <t>Total de terminados por sentencia -Materia Pensiones Alimentarias</t>
  </si>
  <si>
    <t>Total de terminados por sentencia -Materia Violencia Doméstica</t>
  </si>
  <si>
    <t>Total de terminados por sentencia -Materia Notarial</t>
  </si>
  <si>
    <t>Total de casos terminados por sentencia en I Instancia materia penal</t>
  </si>
  <si>
    <t>Total de terminados por sentencia -Materia Penal Tribunales Penales</t>
  </si>
  <si>
    <t>Total de sentencias dictadas en materia Penal (Tribunales Penales)(colegiados)</t>
  </si>
  <si>
    <t>Total de sentencias dictadas en materia Penal (Tribunales Penales)(unipersonales)</t>
  </si>
  <si>
    <t>Total de sentencias dictadas en materia Penal (Tribunales Penales)(abreviados)</t>
  </si>
  <si>
    <t>Total de sentencias dictadas en materia Penal (Tribunales Penales ordinarios) condenatorias</t>
  </si>
  <si>
    <t>Total de sentencias dictadas en materia Penal (Tribunales Penales ordinarios) Absolutorias</t>
  </si>
  <si>
    <t>Total de sentencias dictadas en materia Penal (Tribunales Penales de flagrancia) condenatorias</t>
  </si>
  <si>
    <t>Total de sentencias dictadas en materia Penal (Tribunales Penales de flagrancia) Absolutorias</t>
  </si>
  <si>
    <t>Total de sentencias dictadas en materia penal juvenil (Jdos PJ)</t>
  </si>
  <si>
    <t>Total de casos terminados por medida alterna-conciliación en I Instancia</t>
  </si>
  <si>
    <t>Total de casos terminados por medida alterna-Susp. Proceso a prueba en I Instancia</t>
  </si>
  <si>
    <t>Total de casos terminados por medida alterna-Reparación integral del daño en I Instancia</t>
  </si>
  <si>
    <t>Total de casos terminados por medida alterna-conciliación en I Instancia materias no penales</t>
  </si>
  <si>
    <t>Terminados-conciliación</t>
  </si>
  <si>
    <t>Total de terminados por medida alterna-conciliación -Materia Civil</t>
  </si>
  <si>
    <t>Total de terminados por medida alterna-conciliación -Materia Cobro</t>
  </si>
  <si>
    <t>Total de terminados por medida alterna-conciliación -Materia Agraria</t>
  </si>
  <si>
    <t>Total de terminados por medida alterna-conciliación -Materia Familia</t>
  </si>
  <si>
    <t>Total de terminados por medida alterna-conciliación- Materia Contenciosa Administrativa</t>
  </si>
  <si>
    <t>Total de terminados por medida alterna-conciliación -Materia Trabajo</t>
  </si>
  <si>
    <t>Total de terminados por medida alterna-conciliación -Materia Contravenciones</t>
  </si>
  <si>
    <t>Total de terminados por medida alterna-conciliación -Materia Tránsito</t>
  </si>
  <si>
    <t>Total de terminados por medida alterna-conciliación -Materia Pensiones Alimentarias</t>
  </si>
  <si>
    <t>Total de terminados por medida alterna-conciliación -Materia Notarial</t>
  </si>
  <si>
    <t>Total de casos terminados por conciliación en I Instancia materia penal</t>
  </si>
  <si>
    <t>Total de terminados por medida alterna-conciliación-Tribunales Penales Extinción de la Acción penal</t>
  </si>
  <si>
    <t>Total de terminados por medida alterna-conciliación-Tribunales Penales/JR</t>
  </si>
  <si>
    <t>Total de terminados por medida alterna-conciliación-Tribunales Penales/Centro Conc</t>
  </si>
  <si>
    <t>Total de terminados por medida alterna-conciliación-Juzgados Penales/JR</t>
  </si>
  <si>
    <t>Total de terminados por medida alterna-conciliación-Juzgados Penales/Centro Conc</t>
  </si>
  <si>
    <t>Total de terminados por medida alterna-conciliación-Juzgado Penal Juvenil (Jdos PJ)</t>
  </si>
  <si>
    <t>Total de terminados por medida alterna-conciliación-Juzgado Penal Juvenil (Jdos PJ)/JR</t>
  </si>
  <si>
    <t>terminados-por materia</t>
  </si>
  <si>
    <t>Total de terminados por Acumulación-Tribunales Penales</t>
  </si>
  <si>
    <t>Total de terminados por Devuelto anulado todo lo actuado-Tribunales Penales</t>
  </si>
  <si>
    <t>Total de terminados por Proceso Especial Abreviado-Tribunales Penales</t>
  </si>
  <si>
    <t>Total de terminados por Querella Rechazada-Tribunales Penales</t>
  </si>
  <si>
    <t>Total de terminados por Remitido al Centro de Conciliación-Tribunales Penales</t>
  </si>
  <si>
    <t>Total de terminados por Remitido a Justicia Restaurativa-Tribunales Penales</t>
  </si>
  <si>
    <t>Total de terminados por Con lugar extradición-Tribunales Penales</t>
  </si>
  <si>
    <t>Total de terminados por Sin lugar extradición-Tribunales Penales</t>
  </si>
  <si>
    <t>Total de terminados por devuelto por trámite incompleto-Tribunales Penales</t>
  </si>
  <si>
    <t>Total de terminados por desestimación-Tribunales Penales</t>
  </si>
  <si>
    <t>Total de terminados por fundamentación de pena resuelta-Tribunales Penales</t>
  </si>
  <si>
    <t>Total de terminados por acción civil resarcitoria resuelta-Tribunales Penales</t>
  </si>
  <si>
    <t>Total de terminados por falta de acción-Tribunales Penales</t>
  </si>
  <si>
    <t>Total de terminados por costas del proceso resuelto-Tribunales Penales</t>
  </si>
  <si>
    <t>Total de terminados por conversión acción pública en privada-Tribunales Penales</t>
  </si>
  <si>
    <t>Total de terminados por otros motivos-Tribunales Penales</t>
  </si>
  <si>
    <t>Total de sobreseimientos definitivos Tribunales Penales</t>
  </si>
  <si>
    <t>Total de terminados por Art. 311, incisos a), b), c) y d) Tribunal penales</t>
  </si>
  <si>
    <t>Total de terminados por Extinción de la Acción penal -Prescripción Tribunales Penales</t>
  </si>
  <si>
    <t>Total de terminados por Extinción de la Acción penal -Pago de multa Tribunales Penales</t>
  </si>
  <si>
    <t>Total de terminados por Extinción de la Acción penal -Reparación integral del daño- Medida alterna Tribunales Penales</t>
  </si>
  <si>
    <t>Total de terminados por Extinción de la Acción penal -Muerte del imputado Tribunales Penales</t>
  </si>
  <si>
    <t>Total de terminados por Extinción de la Acción penal -Cumpl. de plazo Susp. Proceso a prueba- Medida Alterna Tribunales Penales</t>
  </si>
  <si>
    <t>Total de terminados por Extinción de la Acción penal -Retractación en Querella Tribunales Penales</t>
  </si>
  <si>
    <t>Total de terminados por Extinción de la Acción penal -Otros Tribunales Penales</t>
  </si>
  <si>
    <t>Total de terminados por Acumulación-Juzgados Penales</t>
  </si>
  <si>
    <t>Total de terminados por Autos de apertura a juicio-Juzgados Penales</t>
  </si>
  <si>
    <t>Total de terminados por Conversión de la acción-Juzgados Penales</t>
  </si>
  <si>
    <t>Total de terminados por Desestimación-Juzgados Penales</t>
  </si>
  <si>
    <t>Total de terminados por Desestimación oral-Juzgados Penales</t>
  </si>
  <si>
    <t>Total de terminados por Devuelto Ministerio Público-Juzgados Penales</t>
  </si>
  <si>
    <t>Total de terminados por Devuelto Ministerio Público -aprueba gestión-Juzgados Penales</t>
  </si>
  <si>
    <t>Total de terminados por Devuelto Ministerio Público -deniega gestión-Juzgados Penales</t>
  </si>
  <si>
    <t>Total de terminados por Devuelto Ministerio Público -sanear act proc defect-Juzgados Penales</t>
  </si>
  <si>
    <t>Total de terminados por Inhibitoria-Juzgados Penales</t>
  </si>
  <si>
    <t>Total de terminados por Otros motivos-Juzgados Penales</t>
  </si>
  <si>
    <t>Total de terminados por Prejudicialidad-Juzgados Penales</t>
  </si>
  <si>
    <t>Total de terminados por Proceso abreviado-Juzgados Penales</t>
  </si>
  <si>
    <t>Total de terminados por Remitido a la of de Just Restaurativa-Juzgados Penales</t>
  </si>
  <si>
    <t>Total de terminados por Remitido a otra jurisdicción nueva investigación-Juzgados Penales</t>
  </si>
  <si>
    <t>Total de terminados por Remitido al Centro de Conciliación-Juzgados Penales</t>
  </si>
  <si>
    <t>Total de terminados por Rebeldía (Solicitada por la físcalía)-Juzgados Penales</t>
  </si>
  <si>
    <t>Total de terminados por Sobreseimiento provisional-Juzgados Penales</t>
  </si>
  <si>
    <t>Total de terminados por Sobreseimiento definitivo-Juzgados Penales</t>
  </si>
  <si>
    <t>Total de terminados por sobreseimientos definitivos por Extinción de la acción penal-Juzgados penales</t>
  </si>
  <si>
    <t>Total de terminados por Sob Def por Ext Acc Penal Por prescripción-Juzgados Penales</t>
  </si>
  <si>
    <t>Total de terminados por Sob Def por Ext Acc Penal Por cumplimiento de plazo de Susp. Proceso a prueba/Medida Alterna-Juzgados Penales</t>
  </si>
  <si>
    <t>Total de terminados por Sob Def por Ext Acc Penal Por cumplimiento de conciliación/Medida Alterna-Juzgados Penales</t>
  </si>
  <si>
    <t>Total de terminados por Sob Def por Ext Acc Penal Por cumplimiento reparación integral del  daño/Medida Alterna-Juzgados Penales</t>
  </si>
  <si>
    <t>Total de terminados por Sob Def por Ext Acc Penal Por vencimiento de plazo (sobr. provisional)-Juzgados Penales</t>
  </si>
  <si>
    <t>Total de terminados por Sob Def por Ext Acc Penal Por pago de multa-Juzgados Penales</t>
  </si>
  <si>
    <t>Total de terminados por Sob Def por Ext Acc Penal Por desestimación de la querella-Juzgados Penales</t>
  </si>
  <si>
    <t>Total de terminados por Sob Def por Ext Acc Penal Por incumplimiento plazo máximo de investigación-Juzgados Penales</t>
  </si>
  <si>
    <t>Total de terminados por Sob Def por Ext Acc Penal Por muerte imputado-Juzgados Penales</t>
  </si>
  <si>
    <t>Total de terminados por Sob Def por Ext Acc Penal Por muerte ofendido-Juzgados Penales</t>
  </si>
  <si>
    <t>Total de terminados por Sob Def por Ext Acc Penal Por criterio de oportunidad-Juzgados Penales</t>
  </si>
  <si>
    <t>Total de terminados por Sob Def por Ext Acc Penal/Justicia Restaurativa Conciliación/Medida Alterna-Juzgados Penales</t>
  </si>
  <si>
    <t>Total de terminados por Sob Def por Ext Acc Penal/Justicia Restaurativa Cumplimiento de Reparación Integral del daño/Medida Alterna-Juzgados Penales</t>
  </si>
  <si>
    <t>Total de terminados por Sob Def por Ext Acc Penal/Justicia Restaurativa Susp. Proceso a Prueba/Medida Alterna-Juzgados Penales</t>
  </si>
  <si>
    <t>Total de terminados por Sob Def por Ext Acc Penal Por otros motivos-Juzgados Penales</t>
  </si>
  <si>
    <t>Total de terminados por Sob Def por Art 311-Juzgados Penales</t>
  </si>
  <si>
    <t>Total de terminados por Sob Def Inc. A,B,C,D-Juzgados Penales</t>
  </si>
  <si>
    <t>Total de terminados por Sob Def Inc. A(Imputado no cometió hecho)-Juzgados Penales</t>
  </si>
  <si>
    <t>Total de terminados por Sob Def Inc. B(Hecho Atípico)-Juzgados Penales</t>
  </si>
  <si>
    <t>Total de terminados por Sob Def Inc. C(Causa justificación o inculpabilidad)-Juzgados Penales</t>
  </si>
  <si>
    <t>Total de terminados por Sob Def Inc. D(la acción penal se ha extinguido)-Juzgados Penales</t>
  </si>
  <si>
    <t>Total de terminados por Sob Def Inc. E(Causa justificación o inculpabilidad)-Juzgados Penales</t>
  </si>
  <si>
    <t>Total de terminados por Audiencias Orales-Juzgados Penales</t>
  </si>
  <si>
    <t>Total de solicitudes terminados por juzgados Penales</t>
  </si>
  <si>
    <t>Solicitudes diligenciadas Juzgados Penales</t>
  </si>
  <si>
    <t>Solicitudes no diligenciadas Juzgados Penales</t>
  </si>
  <si>
    <t>Solicitudes otros Juzgados Penales</t>
  </si>
  <si>
    <t>Total de terminados por Acumulación-Ministerio Público</t>
  </si>
  <si>
    <t>Total de terminados por Acusación fiscal-Ministerio Público</t>
  </si>
  <si>
    <t>Total de terminados por Proceso abreviado-Ministerio Público</t>
  </si>
  <si>
    <t>Total de terminados por Archivo Fiscal-Ministerio Público</t>
  </si>
  <si>
    <t>Total de terminados por Conversión de la Acción Pública en Privada (art. 20)-Ministerio Público</t>
  </si>
  <si>
    <t>Total de terminados por Devuelto al OIJ para Continuar Investigación-Ministerio Público</t>
  </si>
  <si>
    <t>Total de terminados por Envía Jdo Penal Act. Proc. Defectuosa Saneada-Ministerio Público</t>
  </si>
  <si>
    <t>Total de terminados por Incompatible con Plan UCD-Ministerio Público</t>
  </si>
  <si>
    <t>Total de terminados por Otros motivos-Ministerio Público</t>
  </si>
  <si>
    <t>Total de terminados por Ratifica Gestión o Solicitud-Ministerio Público</t>
  </si>
  <si>
    <t>Total de terminados por Remitido a Justicia Alternativa-Ministerio Público</t>
  </si>
  <si>
    <t>Total de terminados por Remitido a Justicia Restaurativa-Ministerio Público</t>
  </si>
  <si>
    <t>Total de terminados por Remitido a Unidad Centralizada Desestimaciones-Ministerio Público</t>
  </si>
  <si>
    <t>Total de terminados por Remitido al Centro de Conciliación-Ministerio Público</t>
  </si>
  <si>
    <t>Total de terminados por Remitido JP.act.proc def.saneada-Ministerio Público</t>
  </si>
  <si>
    <t>Total de terminados por Remitido Fisc. Adjunta de probidad transparencia y anticorrupción-Ministerio Público</t>
  </si>
  <si>
    <t>Total de terminados por Solicitud Sobreseimiento Definitivo-Ministerio Público</t>
  </si>
  <si>
    <t>Total de terminados por Solicitud Conciliación-Ministerio Público</t>
  </si>
  <si>
    <t>Total de terminados por Solicitud Crit. Oportunidad-Ministerio Público</t>
  </si>
  <si>
    <t>Total de terminados por Solicitud Crit. Oportunidad (Art. 22. Inc. C)-Ministerio Público</t>
  </si>
  <si>
    <t>Total de terminados por Solicitud Crit. Oportunidad (Art. 22 Inc. A)-Ministerio Público</t>
  </si>
  <si>
    <t>Total de terminados por Solicitud Crit. Oportunidad (Art. 22 Inc. B)-Ministerio Público</t>
  </si>
  <si>
    <t>Total de terminados por Solicitud Crit. Oportunidad (Art. 22 Inc. D)-Ministerio Público</t>
  </si>
  <si>
    <t>Total de terminados por Solicitud Desestimación-Ministerio Público</t>
  </si>
  <si>
    <t>Total de terminados por Solicitud Desestimación por falta interés del Ofendido u otras-Ministerio Público</t>
  </si>
  <si>
    <t>Total de terminados por Solicitud Desestimación por Atipicidad-Ministerio Público</t>
  </si>
  <si>
    <t>Total de terminados por Solicitud Desestimación por Imposibilidad de Proceder-Ministerio Público</t>
  </si>
  <si>
    <t>Total de terminados por Solicitud Desestimación por derecho de abstención-Ministerio Público</t>
  </si>
  <si>
    <t>Total de terminados por Solicitud Desestimación por Elementos Probatorios Insuficientes-Ministerio Público</t>
  </si>
  <si>
    <t>Total de terminados por Solicitud Desestimación por ausencia de relato-Ministerio Público</t>
  </si>
  <si>
    <t>Total de terminados por Solicitud Desestimación no localización de la víctima-Ministerio Público</t>
  </si>
  <si>
    <t>Total de terminados por Solicitud Desestimación por agotó fuentes-Ministerio Público</t>
  </si>
  <si>
    <t>Total de terminados por Solicitud Susp. Proceso a Prueba-Ministerio Público</t>
  </si>
  <si>
    <t>Total de terminados por presentación demanda contenciosa-Ministerio Público</t>
  </si>
  <si>
    <t>Total de terminados por no presentación demanda contenciosa-Ministerio Público</t>
  </si>
  <si>
    <t>Total de terminados por solicitud de medida alterna-Ministerio Público</t>
  </si>
  <si>
    <t>Total de terminados por Traslado a las Fiscalías Penales Juveniles-Ministerio Público</t>
  </si>
  <si>
    <t>Total de terminados por Acumulación-Juzgado Penal Juvenil (Jdos PJ)</t>
  </si>
  <si>
    <t>Total de terminados por Desestimación-Juzgado Penal Juvenil (Jdos PJ)</t>
  </si>
  <si>
    <t>Total de terminados por Sanción Cumplida-Juzgado Penal Juvenil (Jdos PJ)</t>
  </si>
  <si>
    <t>Total de terminados por Devuelto Ministerio Público-deniega gestión-Juzgado Penal Juvenil (Jdos PJ)</t>
  </si>
  <si>
    <t>Total de terminados por Devuelto Ministerio Público- sanear act proc defect-Juzgado Penal Juvenil (Jdos PJ)</t>
  </si>
  <si>
    <t>Total de terminados por Remitido al Centro de Conciliación-Juzgado Penal Juvenil (Jdos PJ)</t>
  </si>
  <si>
    <t>Total de terminados por SPP/Medida Alterna-Juzgado Penal Juvenil (Jdos PJ)</t>
  </si>
  <si>
    <t>Total de terminados por Reparación integral del daño /Medida Alterna-Juzgado Penal Juvenil (Jdos PJ)</t>
  </si>
  <si>
    <t>Total de terminados por Otros motivos-Juzgado Penal Juvenil (Jdos PJ)</t>
  </si>
  <si>
    <t>Total de terminados por Sobreseimiento definitivo-Juzgado Penal Juvenil (Jdos PJ)</t>
  </si>
  <si>
    <t>Total de terminados por Sobreseimiento Definitivo (Art. 311, Inc A,B,C, E)- (Jdos PJ)</t>
  </si>
  <si>
    <t>Total de terminados por Sobreseimiento Definitivo (Art. 311, Inc D. ext de la acción penal)- (Jdos PJ)</t>
  </si>
  <si>
    <t>Total de terminados por Sobreseimiento Definitivo (Art 313)- (Jdos PJ)</t>
  </si>
  <si>
    <t>Total de terminados por Sob. Def. Crit. Oport.Art. 56 Inc A.- (Jdos PJ)</t>
  </si>
  <si>
    <t>Total de terminados por Sob. Def. Crit. Oport. Art. 56 Inc B.- (Jdos PJ)</t>
  </si>
  <si>
    <t>Total de terminados por Sob. Def. Crit. Oport. Art. 56 Inc C.- (Jdos PJ)</t>
  </si>
  <si>
    <t>Total de terminados por Sob. Def. Crit. Oport. Art. 56 Inc D.- (Jdos PJ)</t>
  </si>
  <si>
    <t>Total de terminados por Sob. Def. Prescripción Art. 31 C.P.P- (Jdos PJ)</t>
  </si>
  <si>
    <t>Total de terminados por Sob. Def. Prescripción Art. 109 LPJ (Jdos PJ)</t>
  </si>
  <si>
    <t>Total de terminados por Sob. Def. Cump. Pla. Susp. Proceso a Prueba/Medida Alterna- (Jdos PJ)</t>
  </si>
  <si>
    <t>Total de terminados por Sob. Def. Ext. AP. Cump. Repar. Daño/Medida Alterna- (Jdos PJ)</t>
  </si>
  <si>
    <t>Total de terminados por Sob. Def. Ext. Acc. Pen. Incum. Fij. Plazo- (Jdos PJ)</t>
  </si>
  <si>
    <t>Total de terminados por Sob. Def. Ext. AP. Desest. Querella- (Jdos PJ)</t>
  </si>
  <si>
    <t>Total de terminados por Sob. Def. Ext. AP Muerte Imputado- (Jdos PJ)</t>
  </si>
  <si>
    <t>Total de terminados por Sob. Def. Ext. AP. Venc. plazo. Sob. Prov.- (Jdos PJ)</t>
  </si>
  <si>
    <t>Total de terminados por Acumulación-Fiscalía PJ</t>
  </si>
  <si>
    <t>Total de terminados por Acusación Fiscal-Fiscalía PJ</t>
  </si>
  <si>
    <t>Total de terminados por Archivo Fiscal-Fiscalía PJ</t>
  </si>
  <si>
    <t>Total de terminados por Devuelto al OIJ para Continuar Investigación-Fiscalía PJ</t>
  </si>
  <si>
    <t>Total de terminados por Otros motivos-Fiscalía PJ</t>
  </si>
  <si>
    <t>Total de terminados por Remitido a Justicia Restaurativa-Fiscalía PJ</t>
  </si>
  <si>
    <t>Total de terminados por Remitido al Centro de Conciliación-Fiscalía PJ</t>
  </si>
  <si>
    <t>Total de terminados por Resuelto Centro Conciliación-Fiscalía PJ</t>
  </si>
  <si>
    <t>Total de terminados por Solicitud Sobreseimiento Provisional-Fiscalía PJ</t>
  </si>
  <si>
    <t>Total de terminados por Solicitud Crit. Oportunidad (Art. 22 Inc. A)-Fiscalía PJ</t>
  </si>
  <si>
    <t>Total de terminados por Solicitud de Desestimación-Fiscalía PJ</t>
  </si>
  <si>
    <t>Total de terminados por Solicitud Desestimación por Atipicidad-Fiscalía PJ</t>
  </si>
  <si>
    <t>Total de terminados por Solicitud Desestimación por agotó fuentes-Fiscalías PJ</t>
  </si>
  <si>
    <t>Total de terminados por Solicitud Desestimación no localización de la víctima-Fiscalía PJ</t>
  </si>
  <si>
    <t>Total de terminados por Solicitud Desestimación por ausencia de relato-Fiscalía PJ</t>
  </si>
  <si>
    <t>Total de terminados por Solicitud Desestimación por derecho de abstención-Fiscalía PJ</t>
  </si>
  <si>
    <t>Total de terminados por Solicitud Desestimación por Elementos Probatorios Insuficientes-Fiscalía PJ</t>
  </si>
  <si>
    <t>Total de terminados por Solicitud Desestimación por Imposibilidad de Proceder-Fiscalía PJ</t>
  </si>
  <si>
    <t>Total de terminados por Solicitud Sobreseimiento definitivo-Materia Penal Juvenil (Fiscalía PJ)</t>
  </si>
  <si>
    <t>Total de terminados por Solicitud Sobreseimiento Definitivo (Art. 311, Inc A Imp no cometió hecho)- Materia Penal Juvenil (Fiscalía)</t>
  </si>
  <si>
    <t>Total de terminados por Solicitud Sobreseimiento Definitivo (Art. 311, Inc B Hecho atípico)- Materia Penal Juvenil (Fiscalía)</t>
  </si>
  <si>
    <t>Total de terminados por Solicitud Sobreseimiento Definitivo (Art. 311, Inc C Causa justificación o inculpabilidad)- Materia Penal Juvenil (Fiscalía)</t>
  </si>
  <si>
    <t>Total de terminados por Solicitud Sobreseimiento Definitivo (Art. 311, Inc E Sin elem de prueba)- Materia Penal Juvenil (Fiscalía)</t>
  </si>
  <si>
    <t>Total de terminados por Solicitud Sobreseimiento Definitivo (Prescripción Art. 31 C.P.P.) Materia Penal Juvenil (Fiscalía)</t>
  </si>
  <si>
    <t>Total de terminados por Solicitud Sobreseimiento Definitivo (Prescripción Art. 33 C.P.P.) Materia Penal Juvenil (Fiscalía)</t>
  </si>
  <si>
    <t>Total de terminados por Solicitud Sobreseimiento Definitivo (Prescripción Art. 109 LJPJ) Materia Penal Juvenil (Fiscalía)</t>
  </si>
  <si>
    <t>Total de terminados por Acumulación-Materia Civil</t>
  </si>
  <si>
    <t>Total de terminados por Archivo demanda monitorio arrendaticio-Materia Civil</t>
  </si>
  <si>
    <t>Total de terminados por Demanda Inadmisible-Materia Civil</t>
  </si>
  <si>
    <t>Total de terminados por Rechazo de plano-Materia Civil</t>
  </si>
  <si>
    <t>Total de terminados por Deserción-Materia Civil</t>
  </si>
  <si>
    <t>Total de terminados por Devuelto por solicitud de la of de origen-Materia Civil</t>
  </si>
  <si>
    <t>Total de terminados por Ejecución Cumplida-Materia Civil</t>
  </si>
  <si>
    <t>Total de terminados por Excepción Previa-Materia Civil</t>
  </si>
  <si>
    <t>Total de terminados por Improcedencia vía Judicial-Materia Civil</t>
  </si>
  <si>
    <t>Total de terminados por Matrimonios Realizados-Materia Civil</t>
  </si>
  <si>
    <t>Total de terminados por Prescripción-Materia Civil</t>
  </si>
  <si>
    <t>Total de terminados por Rechazo, por falta de interés de la parte-Materia Civil</t>
  </si>
  <si>
    <t>Total de terminados por Resolución Intimatoria sin Oposición-Materia Civil</t>
  </si>
  <si>
    <t>Total de terminados por Separarse de la prosecución-Materia Civil</t>
  </si>
  <si>
    <t>Total de terminados por Prueba Anticipada recibida-Materia Civil</t>
  </si>
  <si>
    <t>Total de terminados por Renuncia Derecho-Materia Civil</t>
  </si>
  <si>
    <t>Total de terminados por Desistimiento total SEP-Materia Civil</t>
  </si>
  <si>
    <t>Total de terminados por Finaliza actividad no contenciosa-Materia Civil</t>
  </si>
  <si>
    <t>Total de terminados por Herencia distribuida sin rendición de cuentas-Materia Civil</t>
  </si>
  <si>
    <t>Total de terminados por Proc. inadmisible sin condena-Materia Civil</t>
  </si>
  <si>
    <t>Total de terminados por Rechazo de plano del proceso SEP-Materia Civil</t>
  </si>
  <si>
    <t>Total de terminados por Satisfacción extraprocesal SEP-Materia Civil</t>
  </si>
  <si>
    <t>Total de terminados por Activ. Prep o Ant. Cump. Acum. PRI-Materia Civil</t>
  </si>
  <si>
    <t>Total de terminados por Demanda improponible S.E.P-Materia Civil</t>
  </si>
  <si>
    <t>Total de terminados por Imposibilidad sobrevenida-Materia Civil</t>
  </si>
  <si>
    <t>Total de terminados por Incomp. nacional o arbitral S.E.P-Materia Civil</t>
  </si>
  <si>
    <t>Total de terminados por Litispendencia S.E.P-Materia Civil</t>
  </si>
  <si>
    <t>Total de terminados por Medida Cautelar Final, S.E.P. Acum. PRI-Materia Civil</t>
  </si>
  <si>
    <t>Total de terminados por Transacción homologada S.E.P-Materia Civil</t>
  </si>
  <si>
    <t>Total de terminados por Remitido al Centro de Conciliación-Materia Civil</t>
  </si>
  <si>
    <t>Total de terminados por Otros motivos-Materia Civil</t>
  </si>
  <si>
    <t>Total de terminados por Acumulación-Materia Cobro</t>
  </si>
  <si>
    <t>Total de terminados por Arreglo extrajudicial / acuerdo de partes-Materia Cobro</t>
  </si>
  <si>
    <t>Total de terminados por Demanda Inadmisible-Materia Cobro</t>
  </si>
  <si>
    <t>Total de terminados por Rechazado de Plano-Materia Cobro</t>
  </si>
  <si>
    <t>Total de terminados por Deserción-Materia Cobro</t>
  </si>
  <si>
    <t>Total de terminados por Desistimiento-Materia Cobro</t>
  </si>
  <si>
    <t>Total de terminados por Por Ejecución Cumplida-Materia Cobro</t>
  </si>
  <si>
    <t>Total de terminados por Solicitud de la parte actora-Materia Cobro</t>
  </si>
  <si>
    <t>Total de terminados por Terminado por Concurrencia Acreedores-Materia Cobro</t>
  </si>
  <si>
    <t>Total de terminados por Resolución Intimatoria sin Oposición-Materia Cobro</t>
  </si>
  <si>
    <t>Total de terminados por Terminado Por Inconsistencia-Materia Cobro</t>
  </si>
  <si>
    <t>Total de terminados por Activ. Prep o Ant. Cump. Acum. PRI-Materia Cobro</t>
  </si>
  <si>
    <t>Total de terminados por Acumulación de procesos-Materia Cobro</t>
  </si>
  <si>
    <t>Total de terminados por Cosa juzgada S.E.P-Materia Cobro</t>
  </si>
  <si>
    <t>Total de terminados por Demanda improponible S.E.P-Materia Cobro</t>
  </si>
  <si>
    <t>Total de terminados por Desistimiento total S.E.P-Materia Cobro</t>
  </si>
  <si>
    <t>Total de terminados por Finaliza actividad no contenciosa-Materia Cobro</t>
  </si>
  <si>
    <t>Total de terminados por Imposibilidad sobrevenida-Materia Cobro</t>
  </si>
  <si>
    <t>Total de terminados por Litispendencia S.E.P-Materia Cobro</t>
  </si>
  <si>
    <t>Total de terminados por Medida Cautelar Final, S.E.P. Acum. PRI-Materia Cobro</t>
  </si>
  <si>
    <t>Total de terminados por Proc. inadmisible sin condena-Materia Cobro</t>
  </si>
  <si>
    <t>Total de terminados por Rechazo de plano del proceso S.E.P-Materia Cobro</t>
  </si>
  <si>
    <t>Total de terminados por Satisfacción extraprocesal S.E.P-Materia Cobro</t>
  </si>
  <si>
    <t>Total de terminados por Transacción homologada S.E.P-Materia Cobro</t>
  </si>
  <si>
    <t>Total de terminados por Herencia distribuida sin rendición de cuentas-Materia Cobro</t>
  </si>
  <si>
    <t>Total de terminados por Indeb acum pret acog sin Rec SEP-Materia Cobro</t>
  </si>
  <si>
    <t>Total de terminados por Otras Razones-Materia Cobro</t>
  </si>
  <si>
    <t>Total de terminados por Acuerdo de Partes-Materia Agraria</t>
  </si>
  <si>
    <t>Total de terminados por Acumulación-Materia Agraria</t>
  </si>
  <si>
    <t>Total de terminados por Agotada Vía Administrativa-Materia Agraria</t>
  </si>
  <si>
    <t>Total de terminados por Archivo según Art 212 Ley de aguas-Materia Agraria</t>
  </si>
  <si>
    <t>Total de terminados por Autosentencia-Materia Agraria</t>
  </si>
  <si>
    <t>Total de terminados por Caducidad-Materia Agraria</t>
  </si>
  <si>
    <t>Total de terminados por Demanda Inadmisible-Materia Agraria</t>
  </si>
  <si>
    <t>Total de terminados por Demanda Improponible-Materia Agraria</t>
  </si>
  <si>
    <t>Total de terminados por Deserción-Materia Agraria</t>
  </si>
  <si>
    <t>Total de terminados por Desistimiento-Materia Agraria</t>
  </si>
  <si>
    <t>Total de terminados por Ejecución Cumplida-Materia Agraria</t>
  </si>
  <si>
    <t>Total de terminados por Excepción previa-Materia Agraria</t>
  </si>
  <si>
    <t>Total de terminados por Imposibilidad sobrevenida-Materia Agraria</t>
  </si>
  <si>
    <t>Total de terminados por Inhibitoria-Materia Agraria</t>
  </si>
  <si>
    <t>Total de terminados por No Integración Litis en Tiempo-Materia Agraria</t>
  </si>
  <si>
    <t>Total de terminados por Oposición, procesos no contenciosos-Materia Agraria</t>
  </si>
  <si>
    <t>Total de terminados por Prescripción con lugar-Materia Agraria</t>
  </si>
  <si>
    <t>Total de terminados por Prueba anticipada practicada-Materia Agraria</t>
  </si>
  <si>
    <t>Total de terminados por Prueba anticipada sin presentación de la demanda-Materia Agraria</t>
  </si>
  <si>
    <t>Total de terminados por Rechazado, por falta de interés de la parte-Materia Agraria</t>
  </si>
  <si>
    <t>Total de terminados por Satisfacción Extraprocesal-Materia Agraria</t>
  </si>
  <si>
    <t>Total de terminados por Separarse de la Prosecución-Materia Agraria</t>
  </si>
  <si>
    <t>Total de terminados por Arreglo Extrajudicial-Materia Agraria</t>
  </si>
  <si>
    <t>Total de terminados por Monitorio sin oposición-Materia Agraria</t>
  </si>
  <si>
    <t>Total de terminados por Improcedencia vía judicial-Materia Agraria</t>
  </si>
  <si>
    <t>Total de terminados por Otros motivos-Materia Agraria</t>
  </si>
  <si>
    <t>Total de terminados por Acumulación-Materia Familia</t>
  </si>
  <si>
    <t>Total de terminados por Autosentencia-Materia Familia</t>
  </si>
  <si>
    <t>Total de terminados por Autosentencia (por divorcio o separación por mutuo)-Materia Familia</t>
  </si>
  <si>
    <t>Total de terminados por Demanda inadmisible-Materia Familia</t>
  </si>
  <si>
    <t>Total de terminados por Rechazado de plano-Materia Familia</t>
  </si>
  <si>
    <t>Total de terminados por Deserción-Materia Familia</t>
  </si>
  <si>
    <t>Total de terminados por Desinterés de las partes-Materia Familia</t>
  </si>
  <si>
    <t>Total de terminados por Desistimiento-Materia Familia</t>
  </si>
  <si>
    <t>Total de terminados por Devuelto por trámite incompleto-Materia Familia</t>
  </si>
  <si>
    <t>Total de terminados por Ejecución cumplida-Materia Familia</t>
  </si>
  <si>
    <t>Total de terminados por Excepción previa-Materia Familia</t>
  </si>
  <si>
    <t>Total de terminados por Matrimonio realizado o archivado-Materia Familia</t>
  </si>
  <si>
    <t>Total de terminados por Muerte de alguna de las partes -Materia Familia</t>
  </si>
  <si>
    <t>Total de terminados por Solicitud de partes-Materia Familia</t>
  </si>
  <si>
    <t>Total de terminados por Vencimiento de medida de protección-Materia Familia</t>
  </si>
  <si>
    <t>Total de terminados por Caducidad-Materia Familia</t>
  </si>
  <si>
    <t>Total de terminados por Oposición Art 821 CPC-Materia Familia</t>
  </si>
  <si>
    <t>Total de terminados por Arreglo extrajudicial sin homologación-Materia Familia</t>
  </si>
  <si>
    <t>Total de terminados por Inhibitoria, recusación, excusa-Materia Familia</t>
  </si>
  <si>
    <t>Total de terminados por Otros motivos-Materia Familia</t>
  </si>
  <si>
    <t>Total de terminados por Autosentencia-Materia Contenciosa Administrativa</t>
  </si>
  <si>
    <t>Total de terminados por Desistimiento-Materia Contenciosa Administrativa</t>
  </si>
  <si>
    <t>Total de terminados por Demanda inadmisible-Materia Contenciosa Administrativa</t>
  </si>
  <si>
    <t>Total de terminados por Satisfacción Extraprocesal-Materia Contenciosa Administrativa</t>
  </si>
  <si>
    <t>Total de terminados por Caducidad-Materia Contenciosa Administrativa</t>
  </si>
  <si>
    <t>Total de terminados por Cump. Conducta Omisiva-Materia Contenciosa Administrativa</t>
  </si>
  <si>
    <t>Total de terminados por Acuerdo de Partes-Materia Contenciosa Administrativa</t>
  </si>
  <si>
    <t>Total de terminados por Remitido al tribunal para conciliación-Materia Contenciosa Administrativa</t>
  </si>
  <si>
    <t>Total de terminados por Acumulación-Materia Contenciosa Administrativa</t>
  </si>
  <si>
    <t>Total de terminados por Otras razones-Materia Contenciosa Administrativa</t>
  </si>
  <si>
    <t>Total de terminados por Acumulación-Materia Trabajo</t>
  </si>
  <si>
    <t>Total de terminados por Sobreseimientos-Materia Trabajo</t>
  </si>
  <si>
    <t>Total de terminados por Archivo de Conflicto colectivo-Materia Trabajo</t>
  </si>
  <si>
    <t>Total de terminados por Archivo de Conflicto de competencia-Materia Trabajo</t>
  </si>
  <si>
    <t>Total de terminados por Archivo provisional-Materia Trabajo</t>
  </si>
  <si>
    <t>Total de terminados por Arreglo extrajudicial/acuerdo de partes-Materia Trabajo</t>
  </si>
  <si>
    <t>Total de terminados por Autosentencia de prestaciones por muerte-Materia Trabajo</t>
  </si>
  <si>
    <t>Total de terminados por Autosentencia-Materia Trabajo</t>
  </si>
  <si>
    <t>Total de terminados por Caducidad-Materia Trabajo</t>
  </si>
  <si>
    <t>Total de terminados por Deserción-Materia Trabajo</t>
  </si>
  <si>
    <t>Total de terminados por Desistimiento-Materia Trabajo</t>
  </si>
  <si>
    <t>Total de terminados por Excepción previa-Materia Trabajo</t>
  </si>
  <si>
    <t>Total de terminados por Improcedencia vía judicial-Materia Trabajo</t>
  </si>
  <si>
    <t>Total de terminados por Inadmisible-Materia Trabajo</t>
  </si>
  <si>
    <t>Total de terminados por Medida cautelar no presentó la demanda-Materia Trabajo</t>
  </si>
  <si>
    <t>Total de terminados por Medida cautelar rechazada-Materia Trabajo</t>
  </si>
  <si>
    <t>Total de terminados por Giro al consignatario(a)-Materia Trabajo</t>
  </si>
  <si>
    <t>Total de terminados por Giro de renta-Materia Trabajo</t>
  </si>
  <si>
    <t>Total de terminados por Incumplimiento del art 265 del Código de Trabajo-Materia Trabajo</t>
  </si>
  <si>
    <t>Total de terminados por Prescripción-Materia Trabajo</t>
  </si>
  <si>
    <t>Total de terminados por Rechazo de plano-Materia Trabajo</t>
  </si>
  <si>
    <t>Total de terminados por Ejecución cumplida-Materia Trabajo</t>
  </si>
  <si>
    <t>Total de terminados por Ejecución inactiva-Materia Trabajo</t>
  </si>
  <si>
    <t>Total de terminados por Fallecimiento de la parte actora-Materia Trabajo</t>
  </si>
  <si>
    <t>Total de terminados por Falta integración Litis Consorcio-Materia Trabajo</t>
  </si>
  <si>
    <t>Total de terminados por Giro de prestaciones-Materia Trabajo</t>
  </si>
  <si>
    <t>Total de terminados por Sin Acuerdo Solución Alterna Previa Art 459-Materia Trabajo</t>
  </si>
  <si>
    <t>Total de terminados por Satisfacción extraprocesal-Materia Trabajo</t>
  </si>
  <si>
    <t>Total de terminados por Transacción-Materia Trabajo</t>
  </si>
  <si>
    <t>Total de terminados por Traslado de Expediente (R.P.L.)-Materia Trabajo</t>
  </si>
  <si>
    <t>Total de terminados por Remitido al Centro de Conciliación-Materia Trabajo</t>
  </si>
  <si>
    <t>Total de terminados por Resuelto por el Centro de Conciliación-Materia Trabajo</t>
  </si>
  <si>
    <t>Total de terminados por sobreseimientos definitivos -Materia Trabajo</t>
  </si>
  <si>
    <t>Total de terminados por Otras razones-Materia Trabajo</t>
  </si>
  <si>
    <t>Total de terminados por Acumulación-Materia Contravenciones</t>
  </si>
  <si>
    <t>Total de terminados por Desistimiento-Materia Contravenciones</t>
  </si>
  <si>
    <t>Total de terminados por Desistimiento/falta interés del Ofendido u otras-Materia Contravenciones</t>
  </si>
  <si>
    <t>Total de terminados por Desistimiento/por atipicidad -Materia Contravenciones</t>
  </si>
  <si>
    <t>Total de terminados por Desistimiento/por imposibilidad de proceder-Materia Contravenciones</t>
  </si>
  <si>
    <t>Total de terminados por Desistimiento/por derecho de abstención-Materia Contravenciones</t>
  </si>
  <si>
    <t>Total de terminados por Desistimiento/por ausencia de relato-Materia Contravenciones</t>
  </si>
  <si>
    <t>Total de terminados por Desistimiento/no localización de la víctima-Materia Contravenciones</t>
  </si>
  <si>
    <t>Total de terminados por Desistimiento/agotó fuentes-Materia Contravenciones</t>
  </si>
  <si>
    <t>Total de terminados por Devuelto por trámite incompleto-Materia Contravenciones</t>
  </si>
  <si>
    <t>Total de terminados por Archivo-Materia Contravenciones</t>
  </si>
  <si>
    <t>Total de terminados por Improcedencia vía judicial-Materia Contravenciones</t>
  </si>
  <si>
    <t>Total de terminados por sobreseimientos definitivos -Materia Contravenciones</t>
  </si>
  <si>
    <t>Total de terminados por sobreseimientos definitivos /Inc A-Materia Contravenciones</t>
  </si>
  <si>
    <t>Total de terminados por sobreseimientos definitivos /Inc B-Materia Contravenciones</t>
  </si>
  <si>
    <t>Total de terminados por sobreseimientos definitivos /Inc C-Materia Contravenciones</t>
  </si>
  <si>
    <t>Total de terminados por sobreseimientos definitivos /Inc E-Materia Contravenciones</t>
  </si>
  <si>
    <t>Total de terminados por sobreseimientos definitivos /Inc D muerte del imputado-Materia Contravenciones</t>
  </si>
  <si>
    <t>Total de terminados por sobreseimientos definitivos /Art 313 CPC-Materia Contravenciones</t>
  </si>
  <si>
    <t>Total de terminados por sobreseimientos definitivos /Art 31 CPC-Materia Contravenciones</t>
  </si>
  <si>
    <t>Total de terminados por sobreseimientos definitivos /Art 33 CPC-Materia Contravenciones</t>
  </si>
  <si>
    <t>Total de terminados por sobreseimientos definitivos /Art 30 CPC-Materia Contravenciones</t>
  </si>
  <si>
    <t>Total de terminados por Otras Razones-Materia Contravenciones</t>
  </si>
  <si>
    <t>Total de terminados por Acumulación-Materia Tránsito</t>
  </si>
  <si>
    <t>Total de terminados por Archivo 187 Ley de Tránsito-Materia Tránsito</t>
  </si>
  <si>
    <t>Total de terminados por Suspensión de licencia-Materia Tránsito</t>
  </si>
  <si>
    <t>Total de terminados por Sobreseimiento por prescripción-Materia Tránsito</t>
  </si>
  <si>
    <t>Total de terminados por Sobreseimiento Otros motivos-Materia Tránsito</t>
  </si>
  <si>
    <t>Total de terminados por Inhibitoria-Materia Tránsito</t>
  </si>
  <si>
    <t>Total de terminados por Otro-Materia Tránsito</t>
  </si>
  <si>
    <t>Total de terminados por Acumulación-Materia Pensiones Alimentarias</t>
  </si>
  <si>
    <t>Total de terminados por Archivo por Acuerdo de Partes-Materia Pensiones Alimentarias</t>
  </si>
  <si>
    <t>Total de terminados por Archivo a Solicitud de la Parte Actora-Materia Pensiones Alimentarias</t>
  </si>
  <si>
    <t>Total de terminados por Archivo Transcurrido tres meses-Materia Pensiones Alimentarias</t>
  </si>
  <si>
    <t>Total de terminados por Archivo Fallecimiento del acreedor o deudor-Materia Pensiones Alimentarias</t>
  </si>
  <si>
    <t>Total de terminados por Archivo de Consignación Voluntaria-Materia Pensiones Alimentarias</t>
  </si>
  <si>
    <t>Total de terminados por Archivo-Materia Pensiones Alimentarias</t>
  </si>
  <si>
    <t>Total de terminados por Desistimiento-Materia Pensiones Alimentarias</t>
  </si>
  <si>
    <t>Total de terminados por Devuelto a solicitud del despacho de origen-Materia Pensiones Alimentarias</t>
  </si>
  <si>
    <t>Total de terminados por Ejecución Cumplida-Materia Pensiones Alimentarias</t>
  </si>
  <si>
    <t>Total de terminados por Medida de protección comunicada-Materia Pensiones Alimentarias</t>
  </si>
  <si>
    <t>Total de terminados por No cumplió con prevención-Materia Pensiones Alimentarias</t>
  </si>
  <si>
    <t>Total de terminados por Caducidad-Materia Pensiones Alimentarias</t>
  </si>
  <si>
    <t>Total de terminados por Inadmisión-Materia Pensiones Alimentarias</t>
  </si>
  <si>
    <t>Total de terminados por Rechazado de Plano-Materia Pensiones Alimentarias</t>
  </si>
  <si>
    <t>Total de terminados por Testimonios de piezas remitidos a otras oficinas-Materia Pensiones Alimentarias</t>
  </si>
  <si>
    <t>Total de terminados por Remitido al Centro de Conciliación-Materia Pensiones Alimentarias</t>
  </si>
  <si>
    <t>Total de terminados por Otros motivos-Materia Pensiones Alimentarias</t>
  </si>
  <si>
    <t>Total de terminados por Orden de archivo (rechaza ad portas) -Materia Violencia Doméstica</t>
  </si>
  <si>
    <t>Total de terminados por Acumulación -Materia Violencia Doméstica</t>
  </si>
  <si>
    <t>Total de terminados por Muerte de alguna de las partes -Materia Violencia Doméstica</t>
  </si>
  <si>
    <t>Total de terminados por otros motivos-Materia Violencia Doméstica</t>
  </si>
  <si>
    <t>Total de terminados por Acumulación-Materia Notarial</t>
  </si>
  <si>
    <t>Total de terminados por Cumplimiento de la sanción-Materia Notarial</t>
  </si>
  <si>
    <t>Total de terminados por Excepción o incidentes-Materia Notarial</t>
  </si>
  <si>
    <t>Total de terminados por Prescripción-Materia Notarial</t>
  </si>
  <si>
    <t>Total de terminados por Rechazada de plano-Materia Notarial</t>
  </si>
  <si>
    <t>Total de terminados por Solicitud de la parte actor /actora-Materia Notarial</t>
  </si>
  <si>
    <t>Total de terminados por Incumplimiento del actor /actora-Materia Notarial</t>
  </si>
  <si>
    <t>Total de terminados por Remitido al Centro de Conciliación-Materia Notarial</t>
  </si>
  <si>
    <t>Total de terminados por Otras razones-Materia Notarial</t>
  </si>
  <si>
    <t>Total de terminados por Notario/ a Fallecido-Materia Notarial</t>
  </si>
  <si>
    <t>Circulante Inicial del año en Justicia Restaurativa</t>
  </si>
  <si>
    <t>Total de casos entrados en Justicia Restaurativa</t>
  </si>
  <si>
    <t>Total de casos reentrados en Justicia Restaurativa</t>
  </si>
  <si>
    <t>Total de casos terminados en Justicia Restaurativa</t>
  </si>
  <si>
    <t>Circulante final del año en Justicia Restaurativa</t>
  </si>
  <si>
    <t>Total de casos entrados en Justicia Juvenil Restaurativa</t>
  </si>
  <si>
    <t>Total de terminados por Justicia Restaurativa-Acumulación</t>
  </si>
  <si>
    <t>Total de terminados por Justicia Restaurativa-Sin acuerdo</t>
  </si>
  <si>
    <t>Total de terminados por Justicia Restaurativa-No se presentarón las partes</t>
  </si>
  <si>
    <t>Total de terminados por Justicia Restaurativa-Por motivos de devolución del Ministerio Público</t>
  </si>
  <si>
    <t>Total de terminados por Justicia Restaurativa-Por motivos de devolución del Defensa Pública</t>
  </si>
  <si>
    <t>Total de terminados por Justicia Restaurativa-Por motivos de devolución del Psicosocial</t>
  </si>
  <si>
    <t>Total de terminados por Justicia Restaurativa- Susp. proceso a prueba</t>
  </si>
  <si>
    <t>Total de terminados por Justicia Restaurativa- Conciliación</t>
  </si>
  <si>
    <t>Total de terminados por Justicia Restaurativa- Reparación integral del daño</t>
  </si>
  <si>
    <t>Total de terminados por Justicia Restaurativa- Otros motivos</t>
  </si>
  <si>
    <t>Total de terminados-Justicia Juvenil Restaurativa</t>
  </si>
  <si>
    <t>Total de terminados por Justicia Juvenil Restaurativa- Susp. proceso a prueba</t>
  </si>
  <si>
    <t>ND</t>
  </si>
  <si>
    <t>Total de terminados por Justicia Juvenil Restaurativa- Conciliación</t>
  </si>
  <si>
    <t>Total de terminados por Justicia Juvenil Restaurativa- Reparación integral del daño</t>
  </si>
  <si>
    <t>% de casos atendidos respecto del circulante final</t>
  </si>
  <si>
    <t>% de casos entrados respecto del circulante final</t>
  </si>
  <si>
    <t>% de casos terminados respecto del circulante final</t>
  </si>
  <si>
    <t>Sentencias dictadas</t>
  </si>
  <si>
    <t>Total de sentencias dictadas por órganos de I Instancia no penal</t>
  </si>
  <si>
    <t>Total de sentencias dictadas en materia Civil</t>
  </si>
  <si>
    <t>Total de sentencias dictadas en materia Cobro</t>
  </si>
  <si>
    <t>Total de sentencias dictadas en materia Agraria</t>
  </si>
  <si>
    <t>Total de sentencias dictadas en materia Familia</t>
  </si>
  <si>
    <t>Total de sentencias dictadas en materia Contenciosa Administrativa</t>
  </si>
  <si>
    <t>Total de sentencias dictadas en materia Trabajo</t>
  </si>
  <si>
    <t>Total de sentencias dictadas en materia Contravenciones</t>
  </si>
  <si>
    <t>Total de sentencias dictadas en materia Tránsito</t>
  </si>
  <si>
    <t>Total de sentencias dictadas en materia Pensiones Alimentarias</t>
  </si>
  <si>
    <t>Total de sentencias dictadas en materia Violencia Doméstica</t>
  </si>
  <si>
    <t>Total de sentencias dictadas en materia Notarial</t>
  </si>
  <si>
    <t>Total de sentencias dictadas por órgano de única Instancia-Materia Constitucional</t>
  </si>
  <si>
    <t>Total de sentencias dictadas en materia Constitucional (CL y SL)</t>
  </si>
  <si>
    <t>Total de sentencias dictadas por órganos de II Instancia</t>
  </si>
  <si>
    <t>Total de sentencias dictadas en Trib. De Apelación Penal</t>
  </si>
  <si>
    <t>Total de resursos de apelación de sentencias dictadas en Trib. de Apelación PJ</t>
  </si>
  <si>
    <t>Total de sentencias dictadas en Trib. PJ</t>
  </si>
  <si>
    <t>Total de sentencias dictadas en Trib. Civiles</t>
  </si>
  <si>
    <t>Total de sentencias dictadas en Trib. Laborales</t>
  </si>
  <si>
    <t>Total de sentencias dictadas en Trib Cont. Adm.</t>
  </si>
  <si>
    <t>Total de sentencias dictadas en Trib.de Apelación Cont. Adm. (1120)</t>
  </si>
  <si>
    <t>Total de sentencias dictadas en Trib Agrario</t>
  </si>
  <si>
    <t>Total de sentencias dictadas en Trib. Familia</t>
  </si>
  <si>
    <t>Total de sentencias dictadas en Tribunal de Notariado</t>
  </si>
  <si>
    <t>Total de sentencias dictadas Dir Nacional de Notariado</t>
  </si>
  <si>
    <t>Total de sentencias dictadas por órganos de Casación</t>
  </si>
  <si>
    <t>Total de sentencias dictadas en Sala Primera</t>
  </si>
  <si>
    <t>Total de sentencias dictadas en Trib. De Casación de lo Cont. Adm.</t>
  </si>
  <si>
    <t>Total de sentencias dictadas en Sala Segunda</t>
  </si>
  <si>
    <t>Total de sentencias dictadas en Sala III</t>
  </si>
  <si>
    <t>Total de sentencias dictadas en Sala III PJ</t>
  </si>
  <si>
    <t>Total de sentencias dictadas en Trib. Casación Penal</t>
  </si>
  <si>
    <t>Total de sentencias dictadas en Trib. Casación PJ</t>
  </si>
  <si>
    <t>Total de sentencias anuladas en segunda instancia</t>
  </si>
  <si>
    <t>Total de sentencias anuladas en Trib. Civiles</t>
  </si>
  <si>
    <t>Total de sentencias anuladas en Trib. Laborales</t>
  </si>
  <si>
    <t>Total de sentencias anuladas por el Trib. Cont. Adm.</t>
  </si>
  <si>
    <t>Total de sentencias anuladas por el Trib. de Apelación Cont. Adm . (1120)</t>
  </si>
  <si>
    <t>Total de sentencias anuladas por el Trib Agrario</t>
  </si>
  <si>
    <t>Total de sentencias anuladas el Trib. Familia</t>
  </si>
  <si>
    <t>Total de sentencias anuladas en Trib. PJ</t>
  </si>
  <si>
    <t>Total de sentencias anuladas en Tribunal de Notariado</t>
  </si>
  <si>
    <t>Total de sentencias anuladas en Casación</t>
  </si>
  <si>
    <t>Total de sentencias anuladas por la Sala Primera (incluye se anula y se anula parcialmente)</t>
  </si>
  <si>
    <t>Total de sentencias anuladas por el Trib de Casación de lo Contencioso</t>
  </si>
  <si>
    <t>Total de sentencias anuladas por la Sala Segunda</t>
  </si>
  <si>
    <t>Total de sentencias revocadas en segunda instancia</t>
  </si>
  <si>
    <t>Total de sentencias revocadas por los Tribunales Civiles</t>
  </si>
  <si>
    <t>Total de sentencias revocadas por los Trib. Laborales</t>
  </si>
  <si>
    <t>Total de sentencias revocadas por el Tribunal Contencioso</t>
  </si>
  <si>
    <t>Total de sentencias revocadas por el Trib. de Apelación Cont. Adm. (1120)</t>
  </si>
  <si>
    <t>Total de sentencias revocadas por el Tribunal Agrario</t>
  </si>
  <si>
    <t>Total de sentencias revocadas el Trib. Familia</t>
  </si>
  <si>
    <t>Total de sentencias revocadas en Trib. PJ</t>
  </si>
  <si>
    <t>Total de sentencias revocadas en Tribunal de Notariado</t>
  </si>
  <si>
    <t>Total de sentencias revocadas en Casación</t>
  </si>
  <si>
    <t>Total de sentencias revocadas por la Sala Primera (incluye se revoca y se revoca parcialmente)</t>
  </si>
  <si>
    <t>Total de sentencias revocadas por el Trib de Casación de lo Contencioso</t>
  </si>
  <si>
    <t>Total de sentencias revocadas por la Sala Segunda</t>
  </si>
  <si>
    <t>CASOS ENTRADOS NETOS AL MP MAS DELITOS DE ACCIÓN PRIVADA</t>
  </si>
  <si>
    <t>Delitos del MP</t>
  </si>
  <si>
    <t>CONTRA LA VIDA</t>
  </si>
  <si>
    <t>Abandono de incapaces y casos de agravación</t>
  </si>
  <si>
    <t>Abandono por causa de honor</t>
  </si>
  <si>
    <t>Aborto (tentativa de)</t>
  </si>
  <si>
    <t>Aborto con o sin consentimiento</t>
  </si>
  <si>
    <t>Aborto culposo</t>
  </si>
  <si>
    <t>Aborto impune</t>
  </si>
  <si>
    <t>Aborto procurado</t>
  </si>
  <si>
    <t>Agresión (tentativa de)</t>
  </si>
  <si>
    <t>Agresión calificada</t>
  </si>
  <si>
    <t>Agresión con arma</t>
  </si>
  <si>
    <t>Contagio venéreo</t>
  </si>
  <si>
    <t>Descuido con animales</t>
  </si>
  <si>
    <t>Homicidio calificado (tentativa de)</t>
  </si>
  <si>
    <t>Homicidio culposo</t>
  </si>
  <si>
    <t>Homicidio doloso</t>
  </si>
  <si>
    <t>Homicidio doloso (tentativa de)</t>
  </si>
  <si>
    <t>Homicidio simple (cómplice de)</t>
  </si>
  <si>
    <t>Homicidio simple (tentativa de)</t>
  </si>
  <si>
    <t>Instigación o ayuda al suicidio</t>
  </si>
  <si>
    <t>Lesiones consentidas</t>
  </si>
  <si>
    <t>Lesiones culposas (Ley de Tránsito)</t>
  </si>
  <si>
    <t>Lesiones culposas (Mal praxis)</t>
  </si>
  <si>
    <t>Lesiones graves</t>
  </si>
  <si>
    <t>Lesiones gravísimas</t>
  </si>
  <si>
    <t>Lesiones leves</t>
  </si>
  <si>
    <t>Lesiones leves en riña</t>
  </si>
  <si>
    <t>Omisión de auxilio</t>
  </si>
  <si>
    <t>Tortura (Artículo 123 Bis)</t>
  </si>
  <si>
    <t>CONTRA EL HONOR</t>
  </si>
  <si>
    <t>Calumnias</t>
  </si>
  <si>
    <t>Difamación</t>
  </si>
  <si>
    <t>Difamación de una persona jurídica</t>
  </si>
  <si>
    <t>Injurias</t>
  </si>
  <si>
    <t>Ofensas a la memoria de un difunto</t>
  </si>
  <si>
    <t>Ofensas en juicio</t>
  </si>
  <si>
    <t>Publicación de ofensas</t>
  </si>
  <si>
    <t>Otros</t>
  </si>
  <si>
    <t>SEXUALES</t>
  </si>
  <si>
    <t>Abusos deshonestos</t>
  </si>
  <si>
    <t>Abusos deshonestos (tentativa de)</t>
  </si>
  <si>
    <t>Abusos sexuales contra las personas mayores de edad</t>
  </si>
  <si>
    <t>Abusos sexuales contra las personas mayores de edad (tentativa de)</t>
  </si>
  <si>
    <t>Abusos sexuales contra personas menores de edad e incapaces (tentativa de)</t>
  </si>
  <si>
    <t>Abusos sexuales contra personas menores de edad e incapaces</t>
  </si>
  <si>
    <t xml:space="preserve">Actos sexuales remunerados con personas menores de edad </t>
  </si>
  <si>
    <t>Actos sexuales remunerados con personas menores de edad (tentativa de)</t>
  </si>
  <si>
    <t>Corrupción de menores agravada</t>
  </si>
  <si>
    <t>Corrupción de una persona menor de edad e incapaz</t>
  </si>
  <si>
    <t>Difusión de pornografía</t>
  </si>
  <si>
    <t>Fabricación, producción o reproducción de pornografía</t>
  </si>
  <si>
    <t>Participación de terceros relacionados con la víctima que abusen de su autoridad o cargo</t>
  </si>
  <si>
    <t>Proxenetismo</t>
  </si>
  <si>
    <t>Proxenetismo Agravado</t>
  </si>
  <si>
    <t>Rapto (tentativa de)</t>
  </si>
  <si>
    <t>Rapto como delito de acción pública</t>
  </si>
  <si>
    <t>Rapto con fin de matrimonio</t>
  </si>
  <si>
    <t>Rapto Impropio</t>
  </si>
  <si>
    <t>Rapto propio</t>
  </si>
  <si>
    <t>Relaciones sexuales con menores (tentativa de)</t>
  </si>
  <si>
    <t>Relaciones sexuales con personas menores de edad</t>
  </si>
  <si>
    <t>Relaciones sexuales remuneradas con menores de edad</t>
  </si>
  <si>
    <t>Relaciones sexuales remuneradas con personas menores de edad (tentativa de)</t>
  </si>
  <si>
    <t>Rufianería</t>
  </si>
  <si>
    <t>Seducción o encuentros con menores por medios electrónicos</t>
  </si>
  <si>
    <t>Tenencia de material pornográfico</t>
  </si>
  <si>
    <t>Trata de personas</t>
  </si>
  <si>
    <t>Violación</t>
  </si>
  <si>
    <t>Violación (cómplice de)</t>
  </si>
  <si>
    <t>Violación (tentativa de)</t>
  </si>
  <si>
    <t>Violación calificada</t>
  </si>
  <si>
    <t>CONTRA LA FAMILIA</t>
  </si>
  <si>
    <t>Atentado contra la filiación y el estado civil</t>
  </si>
  <si>
    <t>Expendio o procuración de bebidas alcohólicas y tabaco a menores o incapaces</t>
  </si>
  <si>
    <t>Incumplimiento de deberes de asistencia</t>
  </si>
  <si>
    <t>Incumplimiento del deber alimentario</t>
  </si>
  <si>
    <t>Incumplimiento del deber alimentario agravado</t>
  </si>
  <si>
    <t>Incumplimiento o abuso de la Patria Potestad</t>
  </si>
  <si>
    <t>Infractores del proceso de adopción</t>
  </si>
  <si>
    <t>Infractores del proceso de inscripción</t>
  </si>
  <si>
    <t>Inobservancia de formalidades</t>
  </si>
  <si>
    <t>Matrimonio ilegal</t>
  </si>
  <si>
    <t>Ocultación del impedimento</t>
  </si>
  <si>
    <t>Presencia de menores en lugares no autorizados</t>
  </si>
  <si>
    <t>Procuración de armas o sustancias peligrosas</t>
  </si>
  <si>
    <t>Simulación de matrimonio</t>
  </si>
  <si>
    <t>Sustracción agravada de persona menor o incapaz</t>
  </si>
  <si>
    <t>Sustracción simple de una persona menor de edad o sin capacidad volitiva o cognoscitiva</t>
  </si>
  <si>
    <t xml:space="preserve">Sustracción de persona menor de edad o incapaz y cuido ilegal de menores sujetos a adopción </t>
  </si>
  <si>
    <t>Tenencia ilegítima de menores para adopción</t>
  </si>
  <si>
    <t>Venta de objetos peligrosos a menores o incapaces</t>
  </si>
  <si>
    <t>CONTRA LA LIBERTAD</t>
  </si>
  <si>
    <t>Amenazas agravadas</t>
  </si>
  <si>
    <t>Coacción</t>
  </si>
  <si>
    <t>Ocultamiento de detenidos por autoridades</t>
  </si>
  <si>
    <t>Privación de libertad agravada</t>
  </si>
  <si>
    <t>Privación de libertad sin ánimo de lucro</t>
  </si>
  <si>
    <t>Sustracción de la persona menor de edad o con discapacidad</t>
  </si>
  <si>
    <t>Sustracción de la persona menor de edad o con discapacidad (tentativa de)</t>
  </si>
  <si>
    <t>CONTRA LOS DERECHOS HUMANOS</t>
  </si>
  <si>
    <t>Discriminación racial</t>
  </si>
  <si>
    <t>Crímenes de lesa humanidad</t>
  </si>
  <si>
    <t>Delito de carácter internacional</t>
  </si>
  <si>
    <t>Tráfico de menores para adopción, artículo 384 C.P.</t>
  </si>
  <si>
    <t>CONTRA EL ÁMBITO DE LA INTIMIDAD</t>
  </si>
  <si>
    <t>Allanamiento ilegal</t>
  </si>
  <si>
    <t>Captación indebida de manifestaciones verbales</t>
  </si>
  <si>
    <t>Divulgación de secretos</t>
  </si>
  <si>
    <t>Profanación de cementerios y cadáveres</t>
  </si>
  <si>
    <t>Propalación</t>
  </si>
  <si>
    <t>Sustracción, desvío o supresión de correspondencia</t>
  </si>
  <si>
    <t>Turbación de actos de culto</t>
  </si>
  <si>
    <t>Uso indebido de correspondencia</t>
  </si>
  <si>
    <t>Violación de comunicaciones electrónicas</t>
  </si>
  <si>
    <t>Violación de correspondencia</t>
  </si>
  <si>
    <t>Violación de correspondencia o comunicaciones</t>
  </si>
  <si>
    <t>Violación de datos personales</t>
  </si>
  <si>
    <t>Violación de domicilio</t>
  </si>
  <si>
    <t>Violación de domicilio (tentativa de)</t>
  </si>
  <si>
    <t>CONTRA LA PROPIEDAD</t>
  </si>
  <si>
    <t>Abandono dañino de animales</t>
  </si>
  <si>
    <t>Administración fraudulenta</t>
  </si>
  <si>
    <t>Alteración de datos y sabotaje informático</t>
  </si>
  <si>
    <t>Apropiación irregular</t>
  </si>
  <si>
    <t>Apropiación y retención indebida</t>
  </si>
  <si>
    <t>Daño agravado</t>
  </si>
  <si>
    <t>Daños</t>
  </si>
  <si>
    <t>Daños (tentativa de)</t>
  </si>
  <si>
    <t>Difusión de información falsa</t>
  </si>
  <si>
    <t>Espionaje informático</t>
  </si>
  <si>
    <t>Estafa</t>
  </si>
  <si>
    <t>Estafa (tentativa de)</t>
  </si>
  <si>
    <t>Estafa de seguro</t>
  </si>
  <si>
    <t>Estafa informática</t>
  </si>
  <si>
    <t>Estafa mediante cheque</t>
  </si>
  <si>
    <t>Estelionato</t>
  </si>
  <si>
    <t>Extorsión</t>
  </si>
  <si>
    <t>Extorsión simple (tentativa de)</t>
  </si>
  <si>
    <t>Fraude de simulación</t>
  </si>
  <si>
    <t>Fraude en la entrega de cosas</t>
  </si>
  <si>
    <t>Fraude informático</t>
  </si>
  <si>
    <t>Hurto simple</t>
  </si>
  <si>
    <t>Hurto (cómplice de)</t>
  </si>
  <si>
    <t>Hurto (tentativa de)</t>
  </si>
  <si>
    <t>Hurto agravado</t>
  </si>
  <si>
    <t>Hurto agravado (cómplice de)</t>
  </si>
  <si>
    <t>Hurto agravado (tentativa de)</t>
  </si>
  <si>
    <t>Hurto atenuado</t>
  </si>
  <si>
    <t>Hurto de uso</t>
  </si>
  <si>
    <t>Robo agravado</t>
  </si>
  <si>
    <t>Robo agravado (cómplice de)</t>
  </si>
  <si>
    <t>Robo agravado (tentativa de)</t>
  </si>
  <si>
    <t>Robo simple</t>
  </si>
  <si>
    <t>Robo simple (cómplice de)</t>
  </si>
  <si>
    <t>Robo simple (tentativa de)</t>
  </si>
  <si>
    <t>Secuestro extorsivo</t>
  </si>
  <si>
    <t>Secuestro extorsivo (tentativa de)</t>
  </si>
  <si>
    <t>Suplantación de identidad</t>
  </si>
  <si>
    <t>Usurpación</t>
  </si>
  <si>
    <t>Usurpación bienes de dominio público</t>
  </si>
  <si>
    <t>Usurpación de aguas</t>
  </si>
  <si>
    <t>CONTRA LA BUENA FE DE LOS NEGOCIOS</t>
  </si>
  <si>
    <t>Agiotaje</t>
  </si>
  <si>
    <t>Autorización de actos indebidos</t>
  </si>
  <si>
    <t>Connivencia maliciosa</t>
  </si>
  <si>
    <t>Explotación de incapaces</t>
  </si>
  <si>
    <t>Insolvencia fraudulenta</t>
  </si>
  <si>
    <t>Libramiento de cheque sin fondos</t>
  </si>
  <si>
    <t>Ofrecimiento fraudulento de efectos de crédito</t>
  </si>
  <si>
    <t>Propaganda desleal</t>
  </si>
  <si>
    <t>Quiebra culposa</t>
  </si>
  <si>
    <t>Quiebra fraudulenta</t>
  </si>
  <si>
    <t>Recepción de cheques sin fondos</t>
  </si>
  <si>
    <t>Usura</t>
  </si>
  <si>
    <t>CONTRA LA SEGURIDAD COMÚN</t>
  </si>
  <si>
    <t>Abandono de servicio de transporte</t>
  </si>
  <si>
    <t>Accionamiento de arma</t>
  </si>
  <si>
    <t>Adulteración de otras sustancias</t>
  </si>
  <si>
    <t>Atentado contra plantas, conductores de energía y de comunicaciones</t>
  </si>
  <si>
    <t>Circulación de sustancias envenenadas o adulteradas</t>
  </si>
  <si>
    <t>Conducción temeraria</t>
  </si>
  <si>
    <t xml:space="preserve">Corrupción de sustancias alimenticias o medicinales </t>
  </si>
  <si>
    <t>Creación de peligro para transportes terrestres</t>
  </si>
  <si>
    <t>Desastre culposo</t>
  </si>
  <si>
    <t xml:space="preserve">Entorpecimiento de servicios públicos </t>
  </si>
  <si>
    <t>Estrago</t>
  </si>
  <si>
    <t>Fabricación o tenencia de materiales explosivos</t>
  </si>
  <si>
    <t>Incendio (tentativa de)</t>
  </si>
  <si>
    <t>Incendio o explosión</t>
  </si>
  <si>
    <t>Obstrucción de la vía pública</t>
  </si>
  <si>
    <t>Peligro de accidente culposo</t>
  </si>
  <si>
    <t>Peligro de naufragio y de desastre aéreo</t>
  </si>
  <si>
    <t>Piratería y actos ilícitos contra la seguridad de la navegación marítima</t>
  </si>
  <si>
    <t>Propagación de enfermedades infecto-contagiosas</t>
  </si>
  <si>
    <t>Responsabilidad por culpa</t>
  </si>
  <si>
    <t>Suministro indebido de estupefacientes agravado</t>
  </si>
  <si>
    <t>Suministro indebido de medicamento</t>
  </si>
  <si>
    <t>Violación de medidas sanitarias y para la prevención de epizootias o plagas vegetales</t>
  </si>
  <si>
    <t>CONTRA LA TRANQUILIDAD PÚBLICA</t>
  </si>
  <si>
    <t>Asociación ilícita</t>
  </si>
  <si>
    <t>Instigación pública</t>
  </si>
  <si>
    <t>Intimidación pública</t>
  </si>
  <si>
    <t>CONTRA LA SEGURIDAD DE LA NACIÓN</t>
  </si>
  <si>
    <t>Actos hostiles</t>
  </si>
  <si>
    <t>Conspiración para traición</t>
  </si>
  <si>
    <t>Daño en objeto de interés militar</t>
  </si>
  <si>
    <t>Espionaje</t>
  </si>
  <si>
    <t>Explotación indebida de riqueza nacional por extranjero</t>
  </si>
  <si>
    <t>Infidelidad diplomática</t>
  </si>
  <si>
    <t>Revelación de secretos de estado</t>
  </si>
  <si>
    <t>Revelación por culpa</t>
  </si>
  <si>
    <t xml:space="preserve">Violación de contratos relativos a la seguridad nacional </t>
  </si>
  <si>
    <t>Violación de tregua</t>
  </si>
  <si>
    <t>CONTRA LA AUTORIDAD PÚBLICA</t>
  </si>
  <si>
    <t>Amenaza a un funcionario público</t>
  </si>
  <si>
    <t>Atentado a la autoridad pública</t>
  </si>
  <si>
    <t>Desobediencia a la autoridad pública</t>
  </si>
  <si>
    <t>Ejercicio ilegal de una profesión</t>
  </si>
  <si>
    <t>Facilitación culposa</t>
  </si>
  <si>
    <t>Molestia o estorbo a la autoridad</t>
  </si>
  <si>
    <t>Perjurio</t>
  </si>
  <si>
    <t>Resistencia a la autoridad pública</t>
  </si>
  <si>
    <t>Resistencia a la autoridad pública agravada</t>
  </si>
  <si>
    <t>Uso ilegal de uniformes, insignias o dispositivos policiales</t>
  </si>
  <si>
    <t>Usurpación de autoridad</t>
  </si>
  <si>
    <t>Violación de la custodia de cosas</t>
  </si>
  <si>
    <t>Violación de sellos</t>
  </si>
  <si>
    <t>CONTRA LA ADMINISTRACIÓN DE JUSTICIA</t>
  </si>
  <si>
    <t>Autocalumnia</t>
  </si>
  <si>
    <t>Denuncia y querella calumniosa y calumnia real</t>
  </si>
  <si>
    <t>Encubrimiento y divulgación de información confidencial</t>
  </si>
  <si>
    <t>Evasión</t>
  </si>
  <si>
    <t>Evasión (tentativa de)</t>
  </si>
  <si>
    <t>Evasión por culpa</t>
  </si>
  <si>
    <t>Falso testimonio</t>
  </si>
  <si>
    <t>Favorecimiento de evasión</t>
  </si>
  <si>
    <t>Favorecimiento personal</t>
  </si>
  <si>
    <t>Favorecimiento real</t>
  </si>
  <si>
    <t>Ofrecimiento de testigo falso</t>
  </si>
  <si>
    <t>Quebrantamiento de inhabilitación</t>
  </si>
  <si>
    <t>Receptación</t>
  </si>
  <si>
    <t>Receptación de cosas de procedencia sospechosa</t>
  </si>
  <si>
    <t>Simulación de delito</t>
  </si>
  <si>
    <t>Soborno</t>
  </si>
  <si>
    <t>Soborno (tentativa de)</t>
  </si>
  <si>
    <t>CONTRA LOS DEBERES DE LA FUNCIÓN PÚBLICA</t>
  </si>
  <si>
    <t>Abandono del cargo</t>
  </si>
  <si>
    <t>Abuso de autoridad</t>
  </si>
  <si>
    <t>Aceptación de dádivas por un acto cumplido</t>
  </si>
  <si>
    <t>Cohecho impropio</t>
  </si>
  <si>
    <t>Cohecho propio</t>
  </si>
  <si>
    <t>Concusión</t>
  </si>
  <si>
    <t>Corrupción agravada</t>
  </si>
  <si>
    <t>Corrupción de jueces</t>
  </si>
  <si>
    <t>Delitos cometidos por funcionarios públicos</t>
  </si>
  <si>
    <t>Demora injustificada de pagos</t>
  </si>
  <si>
    <t>Denegación de Auxilio</t>
  </si>
  <si>
    <t>Divulgación de secretos de la función pública</t>
  </si>
  <si>
    <t>Doble representación</t>
  </si>
  <si>
    <t>Exacción ilegal</t>
  </si>
  <si>
    <t>Facilitación culposa de substracciones</t>
  </si>
  <si>
    <t>Incumplimiento de deberes de la función pública</t>
  </si>
  <si>
    <t>Malversación</t>
  </si>
  <si>
    <t>Negociaciones incompatibles</t>
  </si>
  <si>
    <t>Nombramientos ilegales</t>
  </si>
  <si>
    <t>Ofrecimiento u otorgamiento de dádiva o retribución</t>
  </si>
  <si>
    <t>Patrocinio infiel</t>
  </si>
  <si>
    <t>Peculado</t>
  </si>
  <si>
    <t>Peculado y malversación de fondos privados</t>
  </si>
  <si>
    <t>Penalidad del corruptor</t>
  </si>
  <si>
    <t>Prevaricato</t>
  </si>
  <si>
    <t>Sujetos equiparados</t>
  </si>
  <si>
    <t>Violación de fueros</t>
  </si>
  <si>
    <t>INFRACCIÓN LEY ENRIQUECIMIENTO ILÍCITO</t>
  </si>
  <si>
    <t>Apropiación de bienes obsequiados al estado</t>
  </si>
  <si>
    <t>Consecuencias civiles del enriquecimiento ilícito</t>
  </si>
  <si>
    <t>Falsedad en la declaración jurada</t>
  </si>
  <si>
    <t>Falsedad en la recepción de bienes y servicios contratados</t>
  </si>
  <si>
    <t>Fraude de ley en la función administrativa</t>
  </si>
  <si>
    <t>Legislación o administración en provecho propio</t>
  </si>
  <si>
    <t>Influencia en contra de la hacienda pública</t>
  </si>
  <si>
    <t>Pago irregular de contratos administrativos</t>
  </si>
  <si>
    <t>Receptación, legalización o encubrimiento de bienes</t>
  </si>
  <si>
    <t>Reconocimiento ilegal de beneficios laborales</t>
  </si>
  <si>
    <t>Sobreprecio irregular</t>
  </si>
  <si>
    <t>Tráfico de influencias</t>
  </si>
  <si>
    <t>Violación de la privacidad de la información de las declaraciones juradas</t>
  </si>
  <si>
    <t>Infracción Ley Enriquecimiento ilícito (otros)</t>
  </si>
  <si>
    <t>CONTRA LOS PODERES PÚBLICOS Y ORDEN CONSTITUCIONAL</t>
  </si>
  <si>
    <t>Menosprecio o vilipendio público para los símbolos nacionales</t>
  </si>
  <si>
    <t>Motín</t>
  </si>
  <si>
    <t>Propaganda contra el orden constitucional</t>
  </si>
  <si>
    <t>Rebelión</t>
  </si>
  <si>
    <t>Responsabilidad de los promotores o directores</t>
  </si>
  <si>
    <t>Seducción de fuerzas de seguridad</t>
  </si>
  <si>
    <t>Violación al principio de alternabilidad</t>
  </si>
  <si>
    <t>CONTRA LA FE PÚBLICA</t>
  </si>
  <si>
    <t>Circulación de moneda falsa recibida de buena fe</t>
  </si>
  <si>
    <t>Documentos equiparados</t>
  </si>
  <si>
    <t>Falsedad ideológica</t>
  </si>
  <si>
    <t>Falsedad ideológica en certificados médicos</t>
  </si>
  <si>
    <t>Falsificación de documentos privados</t>
  </si>
  <si>
    <t>Falsificación de documentos públicos y auténticos</t>
  </si>
  <si>
    <t>Falsificación de moneda</t>
  </si>
  <si>
    <t>Falsificación de sellos</t>
  </si>
  <si>
    <t>Falsificación de señas y marcas</t>
  </si>
  <si>
    <t>Restauración fraudulenta de sellos</t>
  </si>
  <si>
    <t>Supresión, ocultación y destrucción de documento</t>
  </si>
  <si>
    <t>Tenencia de instrumentos de falsificación</t>
  </si>
  <si>
    <t>Tráfico de personas menores de edad</t>
  </si>
  <si>
    <t>Uso de falso documento</t>
  </si>
  <si>
    <t>INFRACCIÓN LEY BIENESTAR ANIMAL</t>
  </si>
  <si>
    <t>Crueldad contra los animales</t>
  </si>
  <si>
    <t>Maltrato de animales</t>
  </si>
  <si>
    <t>Muerte de animal</t>
  </si>
  <si>
    <t>Pelea de animales por deporte</t>
  </si>
  <si>
    <t>Infracción Ley Bienestar Animal(otros)</t>
  </si>
  <si>
    <t>INFRACCIÓN A LA LEY DE PSICOTRÓPICOS</t>
  </si>
  <si>
    <t>Almacenamiento de Drogas, Sustancias o Productos sin Autorización Legal</t>
  </si>
  <si>
    <t>Comercio de droga y sustancias sin autorización legal</t>
  </si>
  <si>
    <t>Construcción o Facilitación de Uso de Pistas de Aterrizaje o Sitios de Atraque</t>
  </si>
  <si>
    <t>Cultivar-producir-extraer drogas</t>
  </si>
  <si>
    <t>Distribuir-suministrar-poseer drogas</t>
  </si>
  <si>
    <t>Elaborar-fabricar-refinar-transformar-preparar droga</t>
  </si>
  <si>
    <t>Introducción de droga en un centro penitenciario</t>
  </si>
  <si>
    <t>Legitimación de capitales</t>
  </si>
  <si>
    <t>Posesión de droga</t>
  </si>
  <si>
    <t>Suministro de Drogas, Sustancias o Productos sin Autorización Legal</t>
  </si>
  <si>
    <t>Tenencia de droga</t>
  </si>
  <si>
    <t>Tráfico de droga / transporte de droga</t>
  </si>
  <si>
    <t>Tráfico internacional de droga</t>
  </si>
  <si>
    <t>Venta de droga</t>
  </si>
  <si>
    <t>Infracción ley de psicotrópicos (otros)</t>
  </si>
  <si>
    <t>INFRACCIÓN LEY FORESTAL</t>
  </si>
  <si>
    <t>Adquisición o procesamiento ilegal de productos forestales</t>
  </si>
  <si>
    <t>Apertura de caminos o trochas en bosque</t>
  </si>
  <si>
    <t>Aprovechamiento de productos forestales en propiedad privada sin el permiso de la AFE o en excediendo el permiso Art. 61 inc a)</t>
  </si>
  <si>
    <t>Aprovechamiento de recursos forestales patrimonio natural del Estado</t>
  </si>
  <si>
    <t>Aprovechamiento en áreas de protección</t>
  </si>
  <si>
    <t>Cambio de uso del suelo (bosque)</t>
  </si>
  <si>
    <t>Envenenamiento o anillado de árboles sin el permiso de la AFE</t>
  </si>
  <si>
    <t>Incendio forestal con culpa</t>
  </si>
  <si>
    <t>Incendio forestal con dolo</t>
  </si>
  <si>
    <t>Invasión a un área de conservación o protección</t>
  </si>
  <si>
    <t>Irrespeto de vedas forestales declaradas</t>
  </si>
  <si>
    <t>Movilización de madera de bosque o plantación sin permisos</t>
  </si>
  <si>
    <t>Sustracción de productos forestales propiedad Estado</t>
  </si>
  <si>
    <t>Sustracción de productos forestales propiedad privada</t>
  </si>
  <si>
    <t>Tala en zona de protección</t>
  </si>
  <si>
    <t>Transporte de productos forestales sustraídos.</t>
  </si>
  <si>
    <t>Transporte ilegal de madera</t>
  </si>
  <si>
    <t>Infracción Ley Forestal (otros)</t>
  </si>
  <si>
    <t>INFRACCIÓN LEY CONSERVACION DE VIDA SILVESTRE</t>
  </si>
  <si>
    <t>Comercio, tráfico o trasiego de flora silvestre, productos y subproductos de especies en peligro de extinción sin el permiso del SINAC</t>
  </si>
  <si>
    <t>Comercio, tráfico, trasiego de animales silvestres sin el permiso del SINAC</t>
  </si>
  <si>
    <t>Drenaje, relleno, secado o eliminación de humedales</t>
  </si>
  <si>
    <t>Extracción, destrucción de plantas o sus productos sin autorización en áreas oficiales de protección.</t>
  </si>
  <si>
    <t>Exportación o importación de flora silvestre sin la autorización del SINAC</t>
  </si>
  <si>
    <t>Exportación o importación de animales silvestres, sus productos y derivados, sin el permiso del SINAC</t>
  </si>
  <si>
    <t>Infracción Ley de Conservación de Vida Silvestre (otros)</t>
  </si>
  <si>
    <t>INFRACCIÓN LEY GENERAL DE ADUANAS</t>
  </si>
  <si>
    <t>Contrabando. Artículo 211</t>
  </si>
  <si>
    <t>Contrabando Agravado. Artículo 213</t>
  </si>
  <si>
    <t>Defraudación fiscal aduanera. artículo 214</t>
  </si>
  <si>
    <t>Defraudación fiscal Aduanera, artículo 214 (tentativa de)</t>
  </si>
  <si>
    <t>Delitos informáticos</t>
  </si>
  <si>
    <t>Falsedad de la declaración aduanera y otros delitos de tipo aduanero (art 220 bis inc. b y c)</t>
  </si>
  <si>
    <t>Incumplimiento de deberes de terceros</t>
  </si>
  <si>
    <t>Incumplimiento de Medidas de Seguridad. Artículo 219</t>
  </si>
  <si>
    <t>Ocultamiento o destrucción de información</t>
  </si>
  <si>
    <t>Tenencia ilícita de sellos de identificación y otros sistemas de seguridad</t>
  </si>
  <si>
    <t>Infracción Ley General de Aduanas (otros)</t>
  </si>
  <si>
    <t>INFRACCIÓN LEY PROTECCIÓN ADULTO MAYOR</t>
  </si>
  <si>
    <t>Agresión física</t>
  </si>
  <si>
    <t>Agresión patrimonial</t>
  </si>
  <si>
    <t>Agresión psicológica</t>
  </si>
  <si>
    <t>Agresión sexual</t>
  </si>
  <si>
    <t>Explotación de personas adultas mayores</t>
  </si>
  <si>
    <t>Inhabilitación especial</t>
  </si>
  <si>
    <t>Infracción ley protección adulto mayor (otros)</t>
  </si>
  <si>
    <t>INFRACCIÓN LEY DE ARMAS Y EXPLOSIVOS</t>
  </si>
  <si>
    <t>Acopio de armas prohibidas</t>
  </si>
  <si>
    <t>Administración irregular</t>
  </si>
  <si>
    <t>Alteración de características</t>
  </si>
  <si>
    <t>Comercio de armas, explosivos y pólvora</t>
  </si>
  <si>
    <t>Fabricación, exportación e importación ilegales</t>
  </si>
  <si>
    <t>Facilitación de armas</t>
  </si>
  <si>
    <t>Introducción clandestina de armas permitidas</t>
  </si>
  <si>
    <t>Introducción y tráfico de materiales prohibidos</t>
  </si>
  <si>
    <t>Portación ilícita de arma permitida</t>
  </si>
  <si>
    <t>Tenencia de armas prohibidas</t>
  </si>
  <si>
    <t>Tenencia y portación ilegal de armas permitidas</t>
  </si>
  <si>
    <t>Infracción ley de armas y explosivos (otros)</t>
  </si>
  <si>
    <t>INFRACCIÓN LEY DE PENALIZACIÓN DE VIOLENCIA CONTRA LA MUJER</t>
  </si>
  <si>
    <t>Amenazas contra una mujer-violencia psicológica</t>
  </si>
  <si>
    <t>Conductas sexuales abusivas</t>
  </si>
  <si>
    <t>Daño patrimonial</t>
  </si>
  <si>
    <t>Distracción de las utilidades de las actividades económicas familiares</t>
  </si>
  <si>
    <t>Explotación económica de la mujer</t>
  </si>
  <si>
    <t>Explotación sexual de una mujer</t>
  </si>
  <si>
    <t>Femicidio</t>
  </si>
  <si>
    <t>Femicidio (tentativa de)</t>
  </si>
  <si>
    <t>Formas agravadas de violencia sexual</t>
  </si>
  <si>
    <t>Fraude de simulación sobre bienes susceptibles de ser gananciales</t>
  </si>
  <si>
    <t>Incumplimiento de deberes agravado</t>
  </si>
  <si>
    <t>Incumplimiento de una medida de protección</t>
  </si>
  <si>
    <t>Limitación al ejercicio del derecho de propiedad</t>
  </si>
  <si>
    <t>Maltrato</t>
  </si>
  <si>
    <t>Obstaculizar el acceso a la justicia</t>
  </si>
  <si>
    <t>Ofensas a la dignidad- violencia psicológica</t>
  </si>
  <si>
    <t>Restricción a la autodeterminación- violencia psicológica</t>
  </si>
  <si>
    <t>Restricción a la libertad de tránsito</t>
  </si>
  <si>
    <t>Sustracción patrimonial</t>
  </si>
  <si>
    <t>Violación contra una mujer</t>
  </si>
  <si>
    <t>Violencia emocional</t>
  </si>
  <si>
    <t>Infracción ley penalización de violencia contra la mujer (otros)</t>
  </si>
  <si>
    <t>INFRACCIÓN LEYES ESPECIALES</t>
  </si>
  <si>
    <t>Infracción Código de Normas y Procedimientos Tributarios</t>
  </si>
  <si>
    <t>Infracción Ley Código Electoral</t>
  </si>
  <si>
    <t>Infracción Código Fiscal</t>
  </si>
  <si>
    <t>Infracción Código Municipal</t>
  </si>
  <si>
    <t>Infracción Ley Arrendamiento Urbano</t>
  </si>
  <si>
    <t>Infracción Ley Banco de Costa Rica</t>
  </si>
  <si>
    <t>Infracción Ley Caza y Pesca</t>
  </si>
  <si>
    <t>Infracción Ley Contra la Delincuencia Organizada</t>
  </si>
  <si>
    <t>Infracción Ley Contra la Violencia Doméstica</t>
  </si>
  <si>
    <t>Infracción Ley Control Ganado Bovino</t>
  </si>
  <si>
    <t>Infracción Ley de Aguas</t>
  </si>
  <si>
    <t>Infracción Ley de Espectáculos Públicos, materiales audiovisuales e impresos</t>
  </si>
  <si>
    <t>Infracción Ley de Extradición</t>
  </si>
  <si>
    <t>Infracción Ley de igualdad de oportunidad para personas con discapacidad</t>
  </si>
  <si>
    <t>Infracción Ley de Imprenta</t>
  </si>
  <si>
    <t>Infracción Ley de Juegos</t>
  </si>
  <si>
    <t>Infracción Ley de la Defensoría de los Habitantes</t>
  </si>
  <si>
    <t>Infracción Ley de la Jurisdicción Constitucional</t>
  </si>
  <si>
    <t xml:space="preserve">Infracción Ley de la promoción, competencia y defensa efectiva del consumidor </t>
  </si>
  <si>
    <t>Infracción Ley de Minería</t>
  </si>
  <si>
    <t>Infracción Ley Delitos Mineros</t>
  </si>
  <si>
    <t>Infracción Ley de Pesca y Acuicultura</t>
  </si>
  <si>
    <t>Infracción Ley de procedimientos de observancia de los derechos de propiedad intelectual</t>
  </si>
  <si>
    <t>Infracción Ley de Protección Fitosanitaria</t>
  </si>
  <si>
    <t>Infracción Ley de Regulación y Comercialización de bebidas con contenido alcohólico</t>
  </si>
  <si>
    <t>Infracción Ley de Rifas y Loterías</t>
  </si>
  <si>
    <t>Infracción Ley de Sanidad Vegetal</t>
  </si>
  <si>
    <t>Infracción Ley de Títulos Supletorios</t>
  </si>
  <si>
    <t>Infracción Ley de Tránsito</t>
  </si>
  <si>
    <t>Infracción Ley Derechos de autor y derechos conexos</t>
  </si>
  <si>
    <t>Infracción Ley General de Administración Financiera</t>
  </si>
  <si>
    <t>Infracción Ley General de Caminos Públicos</t>
  </si>
  <si>
    <t>Infracción Ley General de Migración y Extranjería</t>
  </si>
  <si>
    <t>Infracción Ley General de Salud</t>
  </si>
  <si>
    <t>Infracción Ley General del servicio nacional de salud animal</t>
  </si>
  <si>
    <t>Infracción Ley Orgánica del Ambiente</t>
  </si>
  <si>
    <t>Infracción Ley Orgánica del Banco Central</t>
  </si>
  <si>
    <t>Infracción Ley Orgánica del Ministerio de Trabajo y Seguridad Social</t>
  </si>
  <si>
    <t>Infracción Ley Orgánica del TSE y del Registro Civil</t>
  </si>
  <si>
    <t>Infracción Ley para Garantizar Seguridad y Orden</t>
  </si>
  <si>
    <t>Infracción Ley para la gestión integral de residuos</t>
  </si>
  <si>
    <t>Infracción Ley Patrimonio Histórico Arquitectónico de CR</t>
  </si>
  <si>
    <t>Infracción Ley Patrimonio nacional arqueológico</t>
  </si>
  <si>
    <t>Infracción Ley Protección al Consumidor</t>
  </si>
  <si>
    <t>Infracción Ley Regulación del Fumado</t>
  </si>
  <si>
    <t>Infracción Ley Venta de licores</t>
  </si>
  <si>
    <t>Infracción Ley zona marítimo terrestre</t>
  </si>
  <si>
    <t>Infracción Ley de Transformación del Instituto de Desarrollo Agrario (IDA)</t>
  </si>
  <si>
    <t>Infracción Ley del Servicio de parques nacionales</t>
  </si>
  <si>
    <t>Infracción Ley de Servicios de Seguridad Privada</t>
  </si>
  <si>
    <t>Infracción Ley Orgánica del Sistema Bancario Nacional</t>
  </si>
  <si>
    <t>CONTRAVENCIONES</t>
  </si>
  <si>
    <t>NO DELITOS</t>
  </si>
  <si>
    <t>Averiguar desaparición</t>
  </si>
  <si>
    <t>Averiguar muerte</t>
  </si>
  <si>
    <t>Suicidio</t>
  </si>
  <si>
    <t>Suicidio (tentativa de)</t>
  </si>
  <si>
    <t>Hecho atípico</t>
  </si>
  <si>
    <t>Consumo de droga</t>
  </si>
  <si>
    <t>Hallazgo de droga</t>
  </si>
  <si>
    <t>Lesiones accidentales</t>
  </si>
  <si>
    <t>Muerte accidental</t>
  </si>
  <si>
    <t>Ignorado</t>
  </si>
  <si>
    <t>Otros delitos</t>
  </si>
  <si>
    <t>CASOS ENTRADOS NETOS AL MP MAS DELITOS DE ACCIÓN PRIVADA+ OIJ</t>
  </si>
  <si>
    <t>Delitos del OIJ+MP</t>
  </si>
  <si>
    <t>OIJ-CONTRA LA VIDA</t>
  </si>
  <si>
    <t>OIJ-Abandono de incapaces y casos de agravación</t>
  </si>
  <si>
    <t>OIJ-Abandono por causa de honor</t>
  </si>
  <si>
    <t>OIJ-Aborto (tentativa de)</t>
  </si>
  <si>
    <t>OIJ-Aborto con o sin consentimiento</t>
  </si>
  <si>
    <t>OIJ-Aborto culposo</t>
  </si>
  <si>
    <t>OIJ-Aborto impune</t>
  </si>
  <si>
    <t>OIJ-Aborto procurado</t>
  </si>
  <si>
    <t>OIJ-Agresión (tentativa de)</t>
  </si>
  <si>
    <t>OIJ-Agresión calificada</t>
  </si>
  <si>
    <t>OIJ-Agresión con arma</t>
  </si>
  <si>
    <t>OIJ-Contagio venéreo</t>
  </si>
  <si>
    <t>OIJ-Descuido con animales</t>
  </si>
  <si>
    <t>OIJ-Homicidio calificado (tentativa de)</t>
  </si>
  <si>
    <t>OIJ-Homicidio culposo</t>
  </si>
  <si>
    <t>OIJ-Homicidio doloso</t>
  </si>
  <si>
    <t>OIJ-Homicidio doloso (tentativa)</t>
  </si>
  <si>
    <t>OIJ-Homicidio simple (cómplice de)</t>
  </si>
  <si>
    <t>OIJ-Homicidio simple (tentativa de)</t>
  </si>
  <si>
    <t>OIJ-Instigación o ayuda al suicidio</t>
  </si>
  <si>
    <t>OIJ-Lesiones consentidas</t>
  </si>
  <si>
    <t>OIJ-Lesiones culposas (Ley de Tránsito)</t>
  </si>
  <si>
    <t>OIJ-Lesiones culposas (Mal praxis)</t>
  </si>
  <si>
    <t>OIJ-Lesiones graves</t>
  </si>
  <si>
    <t>OIJ-Lesiones gravísimas</t>
  </si>
  <si>
    <t>OIJ-Lesiones leves</t>
  </si>
  <si>
    <t>OIJ-Lesiones leves en riña</t>
  </si>
  <si>
    <t>OIJ-Omisión de auxilio</t>
  </si>
  <si>
    <t>OIJ-Tortura (Artículo 123 Bis)</t>
  </si>
  <si>
    <t>OIJ-CONTRA EL HONOR</t>
  </si>
  <si>
    <t>OIJ-Calumnias</t>
  </si>
  <si>
    <t>OIJ-Difamación</t>
  </si>
  <si>
    <t>OIJ-Difamación de una persona jurídica</t>
  </si>
  <si>
    <t>OIJ-Injurias</t>
  </si>
  <si>
    <t>OIJ-Ofensas a la memoria de un difunto</t>
  </si>
  <si>
    <t>OIJ-Ofensas en juicio</t>
  </si>
  <si>
    <t>OIJ-Publicación de ofensas</t>
  </si>
  <si>
    <t>OIJ-Otros</t>
  </si>
  <si>
    <t>OIJ-SEXUALES</t>
  </si>
  <si>
    <t>OIJ-Abusos deshonestos</t>
  </si>
  <si>
    <t>OIJ-Abusos deshonestos (tentativa de)</t>
  </si>
  <si>
    <t>OIJ-Abusos sexuales contra las personas mayores de edad</t>
  </si>
  <si>
    <t>OIJ-Abusos sexuales contra las personas mayores de edad (tentativa de)</t>
  </si>
  <si>
    <t>OIJ-Abusos sexuales contra personas menores de edad e incapaces (tentativa de)</t>
  </si>
  <si>
    <t>OIJ-Abusos sexuales contra personas menores de edad e incapaces</t>
  </si>
  <si>
    <t xml:space="preserve">OIJ-Actos sexuales remunerados con personas menores de edad </t>
  </si>
  <si>
    <t>OIJ-Actos sexuales remunerados con personas menores de edad (tentativa de)</t>
  </si>
  <si>
    <t>OIJ-Corrupción de menores agravada</t>
  </si>
  <si>
    <t>OIJ-Corrupción de una persona menor de edad e incapaz</t>
  </si>
  <si>
    <t>OIJ-Difusión de pornografía</t>
  </si>
  <si>
    <t>OIJ-Fabricación, producción o reproducción de pornografía</t>
  </si>
  <si>
    <t>OIJ-Participación de terceros relacionados con la víctima que abusen de su autoridad o cargo</t>
  </si>
  <si>
    <t>OIJ-Proxenetismo</t>
  </si>
  <si>
    <t>OIJ-Proxenetismo Agravado</t>
  </si>
  <si>
    <t>OIJ-Rapto (tentativa de)</t>
  </si>
  <si>
    <t>OIJ-Rapto como delito de acción pública</t>
  </si>
  <si>
    <t>OIJ-Rapto con fin de matrimonio</t>
  </si>
  <si>
    <t>OIJ-Rapto Impropio</t>
  </si>
  <si>
    <t>OIJ-Rapto propio</t>
  </si>
  <si>
    <t>OIJ-Relaciones sexuales con menores (tentativa de)</t>
  </si>
  <si>
    <t>OIJ-Relaciones sexuales con personas menores de edad</t>
  </si>
  <si>
    <t>OIJ-Relaciones sexuales remuneradas con menores de edad</t>
  </si>
  <si>
    <t>OIJ-Relaciones sexuales remuneradas con personas menores de edad (tentativa de)</t>
  </si>
  <si>
    <t>OIJ-Rufianería</t>
  </si>
  <si>
    <t>OIJ-Seducción o encuentros con menores por medios electrónicos</t>
  </si>
  <si>
    <t>OIJ-Tenencia de material pornográfico</t>
  </si>
  <si>
    <t>OIJ-Trata de personas</t>
  </si>
  <si>
    <t>OIJ-Violación</t>
  </si>
  <si>
    <t>OIJ-Violación (cómplice de)</t>
  </si>
  <si>
    <t>OIJ-Violación (tentativa de)</t>
  </si>
  <si>
    <t>OIJ-Violación calificada</t>
  </si>
  <si>
    <t>OIJ-CONTRA LA FAMILIA</t>
  </si>
  <si>
    <t>OIJ-Atentado contra la filiación y el estado civil</t>
  </si>
  <si>
    <t>OIJ-Expendio o procuración de bebidas alcohólicas y tabaco a menores o incapaces</t>
  </si>
  <si>
    <t>OIJ-Incumplimiento de deberes de asistencia</t>
  </si>
  <si>
    <t>OIJ-Incumplimiento del deber alimentario</t>
  </si>
  <si>
    <t>OIJ-Incumplimiento del deber alimentario agravado</t>
  </si>
  <si>
    <t>OIJ-Incumplimiento o abuso de la Patria Potestad</t>
  </si>
  <si>
    <t>OIJ-Infractores del proceso de adopción</t>
  </si>
  <si>
    <t>OIJ-Infractores del proceso de inscripción</t>
  </si>
  <si>
    <t>OIJ-Inobservancia de formalidades</t>
  </si>
  <si>
    <t>OIJ-Matrimonio ilegal</t>
  </si>
  <si>
    <t>OIJ-Ocultación del impedimento</t>
  </si>
  <si>
    <t>OIJ-Presencia de menores en lugares no autorizados</t>
  </si>
  <si>
    <t>OIJ-Procuración de armas o sustancias peligrosas</t>
  </si>
  <si>
    <t>OIJ-Simulación de matrimonio</t>
  </si>
  <si>
    <t>OIJ-Sustracción agravada de persona menor o incapaz</t>
  </si>
  <si>
    <t>OIJ-Sustracción simple de una persona menor de edad o sin capacidad volitiva o cognoscitiva</t>
  </si>
  <si>
    <t>OIJ-Tenencia ilegítima de menores para adopción</t>
  </si>
  <si>
    <t>OIJ-Venta de objetos peligrosos a menores o incapaces</t>
  </si>
  <si>
    <t>OIJ-CONTRA LA LIBERTAD</t>
  </si>
  <si>
    <t>OIJ-Amenazas agravadas</t>
  </si>
  <si>
    <t>OIJ-Coacción</t>
  </si>
  <si>
    <t>OIJ-Ocultamiento de detenidos por autoridades</t>
  </si>
  <si>
    <t>OIJ-Privación de libertad agravada</t>
  </si>
  <si>
    <t>OIJ-Privación de libertad sin ánimo de lucro</t>
  </si>
  <si>
    <t>OIJ-Sustracción de la persona menor de edad o con discapacidad</t>
  </si>
  <si>
    <t>OIJ-Sustracción de la persona menor de edad o con discapacidad (tentativa de)</t>
  </si>
  <si>
    <t>OIJ-CONTRA LOS DERECHOS HUMANOS</t>
  </si>
  <si>
    <t>OIJ-Discriminación racial</t>
  </si>
  <si>
    <t>OIJ-Crímenes de lesa humanidad</t>
  </si>
  <si>
    <t>OIJ-Delito de carácter internacional</t>
  </si>
  <si>
    <t>OIJ-Tráfico de menores para adopción, artículo 384 C.P.</t>
  </si>
  <si>
    <t>OIJ-CONTRA EL ÁMBITO DE LA INTIMIDAD</t>
  </si>
  <si>
    <t>OIJ-Allanamiento ilegal</t>
  </si>
  <si>
    <t>OIJ-Captación indebida de manifestaciones verbales</t>
  </si>
  <si>
    <t>OIJ-Divulgación de secretos</t>
  </si>
  <si>
    <t>OIJ-Profanación de cementerios y cadáveres</t>
  </si>
  <si>
    <t>OIJ-Propalación</t>
  </si>
  <si>
    <t>OIJ-Sustracción, desvío o supresión de correspondencia</t>
  </si>
  <si>
    <t>OIJ-Turbación de actos de culto</t>
  </si>
  <si>
    <t>OIJ-Uso indebido de correspondencia</t>
  </si>
  <si>
    <t>OIJ-Violación de comunicaciones electrónicas</t>
  </si>
  <si>
    <t>OIJ-Violación de correspondencia</t>
  </si>
  <si>
    <t>OIJ-Violación de correspondencia o comunicaciones</t>
  </si>
  <si>
    <t>OIJ-Violación de datos personales</t>
  </si>
  <si>
    <t>OIJ-Violación de domicilio</t>
  </si>
  <si>
    <t>OIJ-Violación de domicilio (tentativa de)</t>
  </si>
  <si>
    <t>OIJ-CONTRA LA PROPIEDAD</t>
  </si>
  <si>
    <t>OIJ-Abandono dañino de animales</t>
  </si>
  <si>
    <t>OIJ-Administración fraudulenta</t>
  </si>
  <si>
    <t>OIJ-Alteración de datos y sabotaje informático</t>
  </si>
  <si>
    <t>OIJ-Apropiación irregular</t>
  </si>
  <si>
    <t>OIJ-Apropiación y retención indebida</t>
  </si>
  <si>
    <t>OIJ-Daño agravado</t>
  </si>
  <si>
    <t>OIJ-Daños</t>
  </si>
  <si>
    <t>OIJ-Daños (tentativa de)</t>
  </si>
  <si>
    <t>OIJ-Difusión de información falsa</t>
  </si>
  <si>
    <t>OIJ-Espionaje informático</t>
  </si>
  <si>
    <t>OIJ-Estafa</t>
  </si>
  <si>
    <t>OIJ-Estafa (tentativa de)</t>
  </si>
  <si>
    <t>OIJ-Estafa de seguro</t>
  </si>
  <si>
    <t>OIJ-Estafa informática</t>
  </si>
  <si>
    <t>OIJ-Estafa mediante cheque</t>
  </si>
  <si>
    <t>OIJ-Estelionato</t>
  </si>
  <si>
    <t>OIJ-Extorsión</t>
  </si>
  <si>
    <t>OIJ-Extorsión simple (tentativa de)</t>
  </si>
  <si>
    <t>OIJ-Fraude de simulación</t>
  </si>
  <si>
    <t>OIJ-Fraude en la entrega de cosas</t>
  </si>
  <si>
    <t>OIJ-Fraude informático</t>
  </si>
  <si>
    <t>OIJ-Hurto simple</t>
  </si>
  <si>
    <t>OIJ-Hurto (cómplice de)</t>
  </si>
  <si>
    <t>OIJ-Hurto (tentativa de)</t>
  </si>
  <si>
    <t>OIJ-Hurto agravado</t>
  </si>
  <si>
    <t>OIJ-Hurto agravado (cómplice de)</t>
  </si>
  <si>
    <t>OIJ-Hurto agravado (tentativa de)</t>
  </si>
  <si>
    <t>OIJ-Hurto atenuado</t>
  </si>
  <si>
    <t>OIJ-Hurto de uso</t>
  </si>
  <si>
    <t>OIJ-Robo agravado</t>
  </si>
  <si>
    <t>OIJ-Robo agravado (cómplice de)</t>
  </si>
  <si>
    <t>OIJ-Robo agravado (tentativa de)</t>
  </si>
  <si>
    <t>OIJ-Robo simple</t>
  </si>
  <si>
    <t>OIJ-Robo simple (cómplice de)</t>
  </si>
  <si>
    <t>OIJ-Robo simple (tentativa de)</t>
  </si>
  <si>
    <t>OIJ-Secuestro extorsivo</t>
  </si>
  <si>
    <t>OIJ-Secuestro extorsivo (tentativa de)</t>
  </si>
  <si>
    <t>OIJ-Suplantación de identidad</t>
  </si>
  <si>
    <t>OIJ-Usurpación</t>
  </si>
  <si>
    <t>OIJ-Usurpación bienes de dominio público</t>
  </si>
  <si>
    <t>OIJ-Usurpación de aguas</t>
  </si>
  <si>
    <t>OIJ-CONTRA LA BUENA FE DE LOS NEGOCIOS</t>
  </si>
  <si>
    <t>OIJ-Agiotaje</t>
  </si>
  <si>
    <t>OIJ-Autorización de actos indebidos</t>
  </si>
  <si>
    <t>OIJ-Connivencia maliciosa</t>
  </si>
  <si>
    <t>OIJ-Explotación de incapaces</t>
  </si>
  <si>
    <t>OIJ-Insolvencia fraudulenta</t>
  </si>
  <si>
    <t>OIJ-Libramiento de cheque sin fondos</t>
  </si>
  <si>
    <t>OIJ-Ofrecimiento fraudulento de efectos de crédito</t>
  </si>
  <si>
    <t>OIJ-Propaganda desleal</t>
  </si>
  <si>
    <t>OIJ-Quiebra culposa</t>
  </si>
  <si>
    <t>OIJ-Quiebra fraudulenta</t>
  </si>
  <si>
    <t>OIJ-Recepción de cheques sin fondos</t>
  </si>
  <si>
    <t>OIJ-Usura</t>
  </si>
  <si>
    <t>OIJ-CONTRA LA SEGURIDAD COMÚN</t>
  </si>
  <si>
    <t>OIJ-Abandono de servicio de transporte</t>
  </si>
  <si>
    <t>OIJ-Accionamiento de arma</t>
  </si>
  <si>
    <t>OIJ-Adulteración de otras sustancias</t>
  </si>
  <si>
    <t>OIJ-Atentado contra plantas, conductores de energía y de comunicaciones</t>
  </si>
  <si>
    <t>OIJ-Circulación de sustancias envenenadas o adulteradas</t>
  </si>
  <si>
    <t>OIJ-Conducción temeraria</t>
  </si>
  <si>
    <t xml:space="preserve">OIJ-Corrupción de sustancias alimenticias o medicinales </t>
  </si>
  <si>
    <t>OIJ-Creación de peligro para transportes terrestres</t>
  </si>
  <si>
    <t>OIJ-Desastre culposo</t>
  </si>
  <si>
    <t xml:space="preserve">OIJ-Entorpecimiento de servicios públicos </t>
  </si>
  <si>
    <t>OIJ-Estrago</t>
  </si>
  <si>
    <t>OIJ-Fabricación o tenencia de materiales explosivos</t>
  </si>
  <si>
    <t>OIJ-Incendio (tentativa de)</t>
  </si>
  <si>
    <t>OIJ-Incendio o explosión</t>
  </si>
  <si>
    <t>OIJ-Obstrucción de la vía pública</t>
  </si>
  <si>
    <t>OIJ-Peligro de accidente culposo</t>
  </si>
  <si>
    <t>OIJ-Peligro de naufragio y de desastre aéreo</t>
  </si>
  <si>
    <t>OIJ-Piratería y actos ilícitos contra la seguridad de la navegación marítima</t>
  </si>
  <si>
    <t>OIJ-Propagación de enfermedades infecto-contagiosas</t>
  </si>
  <si>
    <t>OIJ-Responsabilidad por culpa</t>
  </si>
  <si>
    <t>OIJ-Suministro indebido de estupefacientes agravado</t>
  </si>
  <si>
    <t>OIJ-Suministro indebido de medicamento</t>
  </si>
  <si>
    <t>OIJ-Violación de medidas sanitarias y para la prevención de epizootias o plagas vegetales</t>
  </si>
  <si>
    <t>OIJ-CONTRA LA TRANQUILIDAD PÚBLICA</t>
  </si>
  <si>
    <t>OIJ-Asociación ilícita</t>
  </si>
  <si>
    <t>OIJ-Instigación pública</t>
  </si>
  <si>
    <t>OIJ-Intimidación pública</t>
  </si>
  <si>
    <t>OIJ-CONTRA LA SEGURIDAD DE LA NACIÓN</t>
  </si>
  <si>
    <t>OIJ-Actos hostiles</t>
  </si>
  <si>
    <t>OIJ-Conspiración para traición</t>
  </si>
  <si>
    <t>OIJ-Daño en objeto de interés militar</t>
  </si>
  <si>
    <t>OIJ-Espionaje</t>
  </si>
  <si>
    <t>OIJ-Explotación indebida de riqueza nacional por extranjero</t>
  </si>
  <si>
    <t>OIJ-Infidelidad diplomática</t>
  </si>
  <si>
    <t>OIJ-Revelación de secretos de estado</t>
  </si>
  <si>
    <t>OIJ-Revelación por culpa</t>
  </si>
  <si>
    <t xml:space="preserve">OIJ-Violación de contratos relativos a la seguridad nacional </t>
  </si>
  <si>
    <t>OIJ-Violación de tregua</t>
  </si>
  <si>
    <t>OIJ-CONTRA LA AUTORIDAD PÚBLICA</t>
  </si>
  <si>
    <t>OIJ-Amenaza a un funcionario público</t>
  </si>
  <si>
    <t>OIJ-Atentado a la autoridad pública</t>
  </si>
  <si>
    <t>OIJ-Desobediencia a la autoridad pública</t>
  </si>
  <si>
    <t>OIJ-Ejercicio ilegal de una profesión</t>
  </si>
  <si>
    <t>OIJ-Facilitación culposa</t>
  </si>
  <si>
    <t>OIJ-Molestia o estorbo a la autoridad</t>
  </si>
  <si>
    <t>OIJ-Perjurio</t>
  </si>
  <si>
    <t>OIJ-Resistencia a la autoridad pública</t>
  </si>
  <si>
    <t>OIJ-Resistencia a la autoridad pública agravada</t>
  </si>
  <si>
    <t>OIJ-Uso ilegal de uniformes, insignias o dispositivos policiales</t>
  </si>
  <si>
    <t>OIJ-Usurpación de autoridad</t>
  </si>
  <si>
    <t>OIJ-Violación de la custodia de cosas</t>
  </si>
  <si>
    <t>OIJ-Violación de sellos</t>
  </si>
  <si>
    <t>OIJ-CONTRA LA ADMINISTRACIÓN DE JUSTICIA</t>
  </si>
  <si>
    <t>OIJ-Autocalumnia</t>
  </si>
  <si>
    <t>OIJ-Denuncia y querella calumniosa y calumnia real</t>
  </si>
  <si>
    <t>OIJ-Encubrimiento y divulgación de información confidencial</t>
  </si>
  <si>
    <t>OIJ-Evasión</t>
  </si>
  <si>
    <t>OIJ-Evasión (tentativa de)</t>
  </si>
  <si>
    <t>OIJ-Evasión por culpa</t>
  </si>
  <si>
    <t>OIJ-Falso testimonio</t>
  </si>
  <si>
    <t>OIJ-Favorecimiento de evasión</t>
  </si>
  <si>
    <t>OIJ-Favorecimiento personal</t>
  </si>
  <si>
    <t>OIJ-Favorecimiento real</t>
  </si>
  <si>
    <t>OIJ-Ofrecimiento de testigo falso</t>
  </si>
  <si>
    <t>OIJ-Quebrantamiento de inhabilitación</t>
  </si>
  <si>
    <t>OIJ-Receptación</t>
  </si>
  <si>
    <t>OIJ-Receptación de cosas de procedencia sospechosa</t>
  </si>
  <si>
    <t>OIJ-Simulación de delito</t>
  </si>
  <si>
    <t>OIJ-Soborno</t>
  </si>
  <si>
    <t>OIJ-Soborno (tentativa de)</t>
  </si>
  <si>
    <t>OIJ-CONTRA LOS DEBERES DE LA FUNCIÓN PÚBLICA</t>
  </si>
  <si>
    <t>OIJ-Abandono del cargo</t>
  </si>
  <si>
    <t>OIJ-Abuso de autoridad</t>
  </si>
  <si>
    <t>OIJ-Aceptación de dádivas por un acto cumplido</t>
  </si>
  <si>
    <t>OIJ-Cohecho impropio</t>
  </si>
  <si>
    <t>OIJ-Cohecho propio</t>
  </si>
  <si>
    <t>OIJ-Concusión</t>
  </si>
  <si>
    <t>OIJ-Corrupción agravada</t>
  </si>
  <si>
    <t>OIJ-Corrupción de jueces</t>
  </si>
  <si>
    <t>OIJ-Delitos cometidos por funcionarios públicos</t>
  </si>
  <si>
    <t>OIJ-Demora injustificada de pagos</t>
  </si>
  <si>
    <t>OIJ-Denegación de Auxilio</t>
  </si>
  <si>
    <t>OIJ-Divulgación de secretos de la función pública</t>
  </si>
  <si>
    <t>OIJ-Doble representación</t>
  </si>
  <si>
    <t>OIJ-Exacción ilegal</t>
  </si>
  <si>
    <t>OIJ-Facilitación culposa de substracciones</t>
  </si>
  <si>
    <t>OIJ-Incumplimiento de deberes de la función pública</t>
  </si>
  <si>
    <t>OIJ-Malversación</t>
  </si>
  <si>
    <t>OIJ-Negociaciones incompatibles</t>
  </si>
  <si>
    <t>OIJ-Nombramientos ilegales</t>
  </si>
  <si>
    <t>OIJ-Ofrecimiento u otorgamiento de dádiva o retribución</t>
  </si>
  <si>
    <t>OIJ-Patrocinio infiel</t>
  </si>
  <si>
    <t>OIJ-Peculado</t>
  </si>
  <si>
    <t>OIJ-Peculado y malversación de fondos privados</t>
  </si>
  <si>
    <t>OIJ-Penalidad del corruptor</t>
  </si>
  <si>
    <t>OIJ-Prevaricato</t>
  </si>
  <si>
    <t>OIJ-Sujetos equiparados</t>
  </si>
  <si>
    <t>OIJ-Violación de fueros</t>
  </si>
  <si>
    <t>OIJ-INFRACCIÓN LEY ENRIQUECIMIENTO ILÍCITO</t>
  </si>
  <si>
    <t>OIJ-Apropiación de bienes obsequiados al estado</t>
  </si>
  <si>
    <t>OIJ-Consecuencias civiles del enriquecimiento ilícito</t>
  </si>
  <si>
    <t>OIJ-Falsedad en la declaración jurada</t>
  </si>
  <si>
    <t>OIJ-Falsedad en la recepción de bienes y servicios contratados</t>
  </si>
  <si>
    <t>OIJ-Fraude de ley en la función administrativa</t>
  </si>
  <si>
    <t>OIJ-Legislación o administración en provecho propio</t>
  </si>
  <si>
    <t>OIJ-Influencia en contra de la hacienda pública</t>
  </si>
  <si>
    <t>OIJ-Pago irregular de contratos administrativos</t>
  </si>
  <si>
    <t>OIJ-Receptación, legalización o encubrimiento de bienes</t>
  </si>
  <si>
    <t>OIJ-Reconocimiento ilegal de beneficios laborales</t>
  </si>
  <si>
    <t>OIJ-Sobreprecio irregular</t>
  </si>
  <si>
    <t>OIJ-Tráfico de influencias</t>
  </si>
  <si>
    <t>OIJ-Violación de la privacidad de la información de las declaraciones juradas</t>
  </si>
  <si>
    <t>OIJ-Infracción Ley Enriquecimiento ilícito (otros)</t>
  </si>
  <si>
    <t>OIJ-CONTRA LOS PODERES PÚBLICOS Y ORDEN CONSTITUCIONAL</t>
  </si>
  <si>
    <t>OIJ-Menosprecio o vilipendio público para los símbolos nacionales</t>
  </si>
  <si>
    <t>OIJ-Motín</t>
  </si>
  <si>
    <t>OIJ-Propaganda contra el orden constitucional</t>
  </si>
  <si>
    <t>OIJ-Rebelión</t>
  </si>
  <si>
    <t>OIJ-Responsabilidad de los promotores o directores</t>
  </si>
  <si>
    <t>OIJ-Seducción de fuerzas de seguridad</t>
  </si>
  <si>
    <t>OIJ-Violación al principio de alternabilidad</t>
  </si>
  <si>
    <t>OIJ-CONTRA LA FE PÚBLICA</t>
  </si>
  <si>
    <t>OIJ-Circulación de moneda falsa recibida de buena fe</t>
  </si>
  <si>
    <t>OIJ-Documentos equiparados</t>
  </si>
  <si>
    <t>OIJ-Falsedad ideológica</t>
  </si>
  <si>
    <t>OIJ-Falsedad ideológica en certificados médicos</t>
  </si>
  <si>
    <t>OIJ-Falsificación de documentos privados</t>
  </si>
  <si>
    <t>OIJ-Falsificación de documentos públicos y auténticos</t>
  </si>
  <si>
    <t>OIJ-Falsificación de moneda</t>
  </si>
  <si>
    <t>OIJ-Falsificación de sellos</t>
  </si>
  <si>
    <t>OIJ-Falsificación de señas y marcas</t>
  </si>
  <si>
    <t>OIJ-Restauración fraudulenta de sellos</t>
  </si>
  <si>
    <t>OIJ-Supresión, ocultación y destrucción de documento</t>
  </si>
  <si>
    <t>OIJ-Tenencia de instrumentos de falsificación</t>
  </si>
  <si>
    <t>OIJ-Tráfico de personas menores de edad</t>
  </si>
  <si>
    <t>OIJ-Uso de falso documento</t>
  </si>
  <si>
    <t>OIJ-INFRACCIÓN LEY BIENESTAR ANIMAL</t>
  </si>
  <si>
    <t>OIJ-Crueldad contra los animales</t>
  </si>
  <si>
    <t>OIJ-Maltrato de animales</t>
  </si>
  <si>
    <t>OIJ-Muerte de animal</t>
  </si>
  <si>
    <t>OIJ-Pelea de animales por deporte</t>
  </si>
  <si>
    <t>OIJ-Infracción Ley de Bienestar Animal</t>
  </si>
  <si>
    <t>OIJ-INFRACCIÓN A LA LEY DE PSICOTRÓPICOS</t>
  </si>
  <si>
    <t>OIJ-Almacenamiento de Drogas, Sustancias o Productos sin Autorización Legal</t>
  </si>
  <si>
    <t>OIJ-Comercio de droga y sustancias sin autorización legal</t>
  </si>
  <si>
    <t>OIJ-Construcción o Facilitación de Uso de Pistas de Aterrizaje o Sitios de Atraque</t>
  </si>
  <si>
    <t>OIJ-Cultivar-producir-extraer drogas</t>
  </si>
  <si>
    <t>OIJ-Distribuir-suministrar-poseer drogas</t>
  </si>
  <si>
    <t>OIJ-Elaborar-fabricar-refinar-transformar-preparar droga</t>
  </si>
  <si>
    <t>OIJ-Introducción de droga en un centro penitenciario</t>
  </si>
  <si>
    <t>OIJ-Legitimación de capitales</t>
  </si>
  <si>
    <t>OIJ-Posesión de droga</t>
  </si>
  <si>
    <t>OIJ-Suministro de Drogas, Sustancias o Productos sin Autorización Legal</t>
  </si>
  <si>
    <t>OIJ-Tenencia de droga</t>
  </si>
  <si>
    <t>OIJ-Tráfico de droga / transporte de droga</t>
  </si>
  <si>
    <t>OIJ-Tráfico internacional de droga</t>
  </si>
  <si>
    <t>OIJ-Venta de droga</t>
  </si>
  <si>
    <t>OIJ-Infracción ley de psicotrópicos (otros)</t>
  </si>
  <si>
    <t>OIJ-INFRACCIÓN LEY FORESTAL</t>
  </si>
  <si>
    <t>OIJ-Adquisición o procesamiento ilegal de productos forestales</t>
  </si>
  <si>
    <t>OIJ-Apertura de caminos o trochas en bosque</t>
  </si>
  <si>
    <t>OIJ-Aprovechamiento de productos forestales en propiedad privada sin el permiso de la AFE o en excediendo el permiso Art. 61 inc a)</t>
  </si>
  <si>
    <t>OIJ-Aprovechamiento de recursos forestales patrimonio natural del Estado</t>
  </si>
  <si>
    <t>OIJ-Aprovechamiento en áreas de protección</t>
  </si>
  <si>
    <t>OIJ-Cambio de uso del suelo (bosque)</t>
  </si>
  <si>
    <t>OIJ-Envenenamiento o anillado de árboles sin el permiso de la AFE</t>
  </si>
  <si>
    <t>OIJ-Incendio forestal con culpa</t>
  </si>
  <si>
    <t>OIJ-Incendio forestal con dolo</t>
  </si>
  <si>
    <t>OIJ-Invasión a un área de conservación o protección</t>
  </si>
  <si>
    <t>OIJ-Irrespeto de vedas forestales declaradas</t>
  </si>
  <si>
    <t>OIJ-Movilización de madera de bosque o plantación sin permisos</t>
  </si>
  <si>
    <t>OIJ-Sustracción de productos forestales propiedad Estado</t>
  </si>
  <si>
    <t>OIJ-Sustracción de productos forestales propiedad privada</t>
  </si>
  <si>
    <t>OIJ-Tala en zona de protección</t>
  </si>
  <si>
    <t>OIJ-Transporte de productos forestales sustraídos.</t>
  </si>
  <si>
    <t>OIJ-Transporte ilegal de madera</t>
  </si>
  <si>
    <t>OIJ-Infracción Ley Forestal (otros)</t>
  </si>
  <si>
    <t>OIJ-INFRACCIÓN LEY CONSERVACION DE VIDA SILVESTRE</t>
  </si>
  <si>
    <t>OIJ-Comercio, tráfico o trasiego de flora silvestre, productos y subproductos de especies en peligro de extinción sin el permiso del SINAC</t>
  </si>
  <si>
    <t>OIJ-Comercio, tráfico, trasiego de animales silvestres sin el permiso del SINAC</t>
  </si>
  <si>
    <t>OIJ-Drenaje, relleno, secado o eliminación de humedales</t>
  </si>
  <si>
    <t>OIJ-Extracción, destrucción de plantas o sus productos sin autorización en áreas oficiales de protección.</t>
  </si>
  <si>
    <t>OIJ-Exportación o importación de flora silvestre sin la autorización del SINAC</t>
  </si>
  <si>
    <t>OIJ-Exportación o importación de animales silvestres, sus productos y derivados, sin el permiso del SINAC</t>
  </si>
  <si>
    <t>OIJ-Infracción Ley de Conservación de Vida Silvestre (otros)</t>
  </si>
  <si>
    <t>OIJ-INFRACCIÓN LEY GENERAL DE ADUANAS</t>
  </si>
  <si>
    <t>OIJ-Contrabando. Artículo 211</t>
  </si>
  <si>
    <t>OIJ-Contrabando Agravado. Artículo 213</t>
  </si>
  <si>
    <t>OIJ-Defraudación fiscal aduanera. artículo 214</t>
  </si>
  <si>
    <t>OIJ-Defraudación fiscal Aduanera, artículo 214 (tentativa de)</t>
  </si>
  <si>
    <t>OIJ-Delitos informáticos</t>
  </si>
  <si>
    <t>OIJ-Falsedad de la declaración aduanera y otros delitos de tipo aduanero (art 220 bis inc. b y c)</t>
  </si>
  <si>
    <t>OIJ-Incumplimiento de deberes de terceros</t>
  </si>
  <si>
    <t>OIJ-Incumplimiento de Medidas de Seguridad. Artículo 219</t>
  </si>
  <si>
    <t>OIJ-Ocultamiento o destrucción de información</t>
  </si>
  <si>
    <t>OIJ-Tenencia ilícita de sellos de identificación y otros sistemas de seguridad</t>
  </si>
  <si>
    <t>OIJ-Infracción Ley General de Aduanas (otros)</t>
  </si>
  <si>
    <t>OIJ-INFRACCIÓN LEY PROTECCIÓN ADULTO MAYOR</t>
  </si>
  <si>
    <t>OIJ-Agresión física</t>
  </si>
  <si>
    <t>OIJ-Agresión patrimonial</t>
  </si>
  <si>
    <t>OIJ-Agresión psicológica</t>
  </si>
  <si>
    <t>OIJ-Agresión sexual</t>
  </si>
  <si>
    <t>OIJ-Explotación de personas adultas mayores</t>
  </si>
  <si>
    <t>OIJ-Inhabilitación especial</t>
  </si>
  <si>
    <t>OIJ-Infracción ley protección adulto mayor (otros)</t>
  </si>
  <si>
    <t>OIJ-INFRACCIÓN LEY DE ARMAS Y EXPLOSIVOS</t>
  </si>
  <si>
    <t>OIJ-Acopio de armas prohibidas</t>
  </si>
  <si>
    <t>OIJ-Administración irregular</t>
  </si>
  <si>
    <t>OIJ-Alteración de características</t>
  </si>
  <si>
    <t>OIJ-Comercio de armas, explosivos y pólvora</t>
  </si>
  <si>
    <t>OIJ-Fabricación, exportación e importación ilegales</t>
  </si>
  <si>
    <t>OIJ-Facilitación de armas</t>
  </si>
  <si>
    <t>OIJ-Introducción clandestina de armas permitidas</t>
  </si>
  <si>
    <t>OIJ-Introducción y tráfico de materiales prohibidos</t>
  </si>
  <si>
    <t>OIJ-Portación ilícita de arma permitida</t>
  </si>
  <si>
    <t>OIJ-Tenencia de armas prohibidas</t>
  </si>
  <si>
    <t>OIJ-Tenencia y portación ilegal de armas permitidas</t>
  </si>
  <si>
    <t>OIJ-Infracción ley de armas y explosivos (otros)</t>
  </si>
  <si>
    <t>OIJ-INFRACCIÓN LEY DE PENALIZACIÓN DE VIOLENCIA CONTRA LA MUJER</t>
  </si>
  <si>
    <t>OIJ-Amenazas contra una mujer-violencia psicológica</t>
  </si>
  <si>
    <t>OIJ-Conductas sexuales abusivas</t>
  </si>
  <si>
    <t>OIJ-Daño patrimonial</t>
  </si>
  <si>
    <t>OIJ-Distracción de las utilidades de las actividades económicas familiares</t>
  </si>
  <si>
    <t>OIJ-Explotación económica de la mujer</t>
  </si>
  <si>
    <t>OIJ-Explotación sexual de una mujer</t>
  </si>
  <si>
    <t>OIJ-Femicidio</t>
  </si>
  <si>
    <t>OIJ-Femicidio (tentativa de)</t>
  </si>
  <si>
    <t>OIJ-Formas agravadas de violencia sexual</t>
  </si>
  <si>
    <t>OIJ-Fraude de simulación sobre bienes susceptibles de ser gananciales</t>
  </si>
  <si>
    <t>OIJ-Incumplimiento de deberes agravado</t>
  </si>
  <si>
    <t>OIJ-Incumplimiento de una medida de protección</t>
  </si>
  <si>
    <t>OIJ-Limitación al ejercicio del derecho de propiedad</t>
  </si>
  <si>
    <t>OIJ-Maltrato</t>
  </si>
  <si>
    <t>OIJ-Obstaculizar el acceso a la justicia</t>
  </si>
  <si>
    <t>OIJ-Ofensas a la dignidad- violencia psicológica</t>
  </si>
  <si>
    <t>OIJ-Restricción a la autodeterminación- violencia psicológica</t>
  </si>
  <si>
    <t>OIJ-Restricción a la libertad de tránsito</t>
  </si>
  <si>
    <t>OIJ-Sustracción patrimonial</t>
  </si>
  <si>
    <t>OIJ-Violación contra una mujer</t>
  </si>
  <si>
    <t>OIJ-Violencia emocional</t>
  </si>
  <si>
    <t>OIJ-Infracción ley penalización de violencia contra la mujer (otros)</t>
  </si>
  <si>
    <t>OIJ-INFRACCIÓN LEYES ESPECIALES</t>
  </si>
  <si>
    <t>OIJ-Infracción Código de Normas y Procedimientos Tributarios</t>
  </si>
  <si>
    <t>OIJ-Infracción Ley Código Electoral</t>
  </si>
  <si>
    <t>OIJ-Infracción Código Fiscal</t>
  </si>
  <si>
    <t>OIJ-Infracción Código Municipal</t>
  </si>
  <si>
    <t>OIJ-Infracción Ley Arrendamiento Urbano</t>
  </si>
  <si>
    <t>OIJ-Infracción Ley Banco de Costa Rica</t>
  </si>
  <si>
    <t>OIJ-Infracción Ley Caza y Pesca</t>
  </si>
  <si>
    <t>OIJ-Infracción Ley Contra la Delincuencia Organizada</t>
  </si>
  <si>
    <t>OIJ-Infracción Ley Contra la Violencia Doméstica</t>
  </si>
  <si>
    <t>OIJ-Infracción Ley Control Ganado Bovino</t>
  </si>
  <si>
    <t>OIJ-Infracción Ley de Aguas</t>
  </si>
  <si>
    <t>OIJ-Infracción Ley de Espectáculos Públicos, materiales audiovisuales e impresos</t>
  </si>
  <si>
    <t>OIJ-Infracción Ley de Extradición</t>
  </si>
  <si>
    <t>OIJ-Infracción Ley de igualdad de oportunidad para personas con discapacidad</t>
  </si>
  <si>
    <t>OIJ-Infracción Ley de Imprenta</t>
  </si>
  <si>
    <t>OIJ-Infracción Ley de Juegos</t>
  </si>
  <si>
    <t>OIJ-Infracción Ley de la Defensoría de los Habitantes</t>
  </si>
  <si>
    <t>OIJ-Infracción Ley de la Jurisdicción Constitucional</t>
  </si>
  <si>
    <t xml:space="preserve">OIJ-Infracción Ley de la promoción, competencia y defensa efectiva del consumidor </t>
  </si>
  <si>
    <t>OIJ-Infracción Ley de Minería</t>
  </si>
  <si>
    <t>OIJ-Infracción Ley Delitos Mineros</t>
  </si>
  <si>
    <t>OIJ-Infracción Ley de Pesca y Acuicultura</t>
  </si>
  <si>
    <t>OIJ-Infracción Ley de procedimientos de observancia de los derechos de propiedad intelectual</t>
  </si>
  <si>
    <t>OIJ-Infracción Ley de Protección Fitosanitaria</t>
  </si>
  <si>
    <t>OIJ-Infracción Ley de Regulación y Comercialización de bebidas con contenido alcohólico</t>
  </si>
  <si>
    <t>OIJ-Infracción Ley de Rifas y Loterías</t>
  </si>
  <si>
    <t>OIJ-Infracción Ley de Sanidad Vegetal</t>
  </si>
  <si>
    <t>OIJ-Infracción Ley de Títulos Supletorios</t>
  </si>
  <si>
    <t>OIJ-Infracción Ley de Tránsito</t>
  </si>
  <si>
    <t>OIJ-Infracción Ley de Derechos de Autor y Derechos Conexos</t>
  </si>
  <si>
    <t>OIJ-Infracción Ley General de Administración Financiera</t>
  </si>
  <si>
    <t>OIJ-Infracción Ley General de Caminos Públicos</t>
  </si>
  <si>
    <t>OIJ-Infracción Ley General de Migración y Extranjería</t>
  </si>
  <si>
    <t>OIJ-Infracción Ley General de Salud</t>
  </si>
  <si>
    <t>OIJ-Infracción Ley General del servicio nacional de salud animal</t>
  </si>
  <si>
    <t>OIJ-Infracción Ley Orgánica del Ambiente</t>
  </si>
  <si>
    <t>OIJ-Infracción Ley Orgánica del Banco Central</t>
  </si>
  <si>
    <t>OIJ-Infracción Ley Orgánica del Ministerio de Trabajo y Seguridad Social</t>
  </si>
  <si>
    <t>OIJ-Infracción Ley Orgánica del TSE y del Registro Civil</t>
  </si>
  <si>
    <t>OIJ-Infracción Ley para Garantizar Seguridad y Orden</t>
  </si>
  <si>
    <t>OIJ-Infracción Ley para la gestión integral de residuos</t>
  </si>
  <si>
    <t>OIJ-Infracción Ley Patrimonio Histórico Arquitectónico de CR</t>
  </si>
  <si>
    <t>OIJ-Infracción Ley Patrimonio nacional arqueológico</t>
  </si>
  <si>
    <t>OIJ-Infracción Ley Protección al Consumidor</t>
  </si>
  <si>
    <t>OIJ-Infracción Ley Regulación del Fumado</t>
  </si>
  <si>
    <t>OIJ-Infracción Ley Venta de licores</t>
  </si>
  <si>
    <t>OIJ-Infracción Ley zona marítimo terrestre</t>
  </si>
  <si>
    <t>OIJ-Infracción Ley de Transformación del Instituto de Desarrollo Agrario (IDA)</t>
  </si>
  <si>
    <t>OIJ-Infracción Ley del Servicio de parques nacionales</t>
  </si>
  <si>
    <t>OIJ-Infracción Ley de Servicios de Seguridad Privada</t>
  </si>
  <si>
    <t>OIJ-Infracción Ley Orgánica del Sistema Bancario Nacional</t>
  </si>
  <si>
    <t>OIJ-CONTRAVENCIONES</t>
  </si>
  <si>
    <t>OIJ-NO DELITOS</t>
  </si>
  <si>
    <t>OIJ-Averiguar desaparición</t>
  </si>
  <si>
    <t>OIJ-Averiguar muerte</t>
  </si>
  <si>
    <t>OIJ-Suicidio</t>
  </si>
  <si>
    <t>OIJ-Suicidio (tentativa de)</t>
  </si>
  <si>
    <t>OIJ-Hecho atípico</t>
  </si>
  <si>
    <t>OIJ-Consumo de droga</t>
  </si>
  <si>
    <t>OIJ-Hallazgo de droga</t>
  </si>
  <si>
    <t>OIJ-Lesiones accidentales</t>
  </si>
  <si>
    <t>OIJ-Muerte accidental</t>
  </si>
  <si>
    <t>OIJ-Ignorado</t>
  </si>
  <si>
    <t>OIJ-Otros delitos</t>
  </si>
  <si>
    <t>Personas sent</t>
  </si>
  <si>
    <t>Total de personas sentenciadas por los Tribunales penales</t>
  </si>
  <si>
    <t>Total de personas absueltas por los Tribunales penales</t>
  </si>
  <si>
    <t>Total de personas condenadas por los Tribunales penales</t>
  </si>
  <si>
    <t>Personas condenadas con días multa</t>
  </si>
  <si>
    <t>Personas condenadas con prisión efectiva</t>
  </si>
  <si>
    <t>Personas condenadas con menos de 6 meses de prisión</t>
  </si>
  <si>
    <t>Personas condenadas con 6 meses a menos de 1 año de prisión</t>
  </si>
  <si>
    <t>Personas condenadas con 1 año a menos de 2 años de prisión</t>
  </si>
  <si>
    <t>Personas condenadas con 2 años a menos de 3 años de prisión</t>
  </si>
  <si>
    <t>Personas condenadas con 3 años a menos de 5 años de prisión</t>
  </si>
  <si>
    <t>Personas condenadas con 5 años a menos de 7 años de prisión</t>
  </si>
  <si>
    <t>Personas condenadas con 7 años a menos de 10 años de prisión</t>
  </si>
  <si>
    <t>Personas condenadas con 10 años a menos de 15 años de prisión</t>
  </si>
  <si>
    <t>Personas condenadas con 15 años a menos de 20 años de prisión</t>
  </si>
  <si>
    <t>Personas condenadas con 20 años a menos de 25 años de prisión</t>
  </si>
  <si>
    <t>Personas condenadas con 25 años a menos de 30 años de prisión</t>
  </si>
  <si>
    <t>Personas condenadas con 30 años a menos de 35 años de prisión</t>
  </si>
  <si>
    <t>Personas condenadas con 35 años a menos de 40 años de prisión</t>
  </si>
  <si>
    <t>Personas condenadas con 40 años a menos de 45 años de prisión</t>
  </si>
  <si>
    <t>Personas condenadas con 45 años a menos de 50 años de prisión</t>
  </si>
  <si>
    <t>Personas condenadas con arresto domiciliario</t>
  </si>
  <si>
    <t>Personas condenadas con ejecución condicional</t>
  </si>
  <si>
    <t>Personas condenadas con medida de seguridad</t>
  </si>
  <si>
    <t>Personas condenadas con pena alterna</t>
  </si>
  <si>
    <t>Personas condenadas con extrañamiento</t>
  </si>
  <si>
    <t>Personas Condenadas por sexo-Hombres</t>
  </si>
  <si>
    <t>Personas Condenadas por sexo-Mujeres</t>
  </si>
  <si>
    <t>Personas Condenadas con pena máxima</t>
  </si>
  <si>
    <t>Personas Sentenciadas reincidentes</t>
  </si>
  <si>
    <t>Personas Sentenciadas reincidentes-Condenadas</t>
  </si>
  <si>
    <t>Personas Sentenciadas reincidentes-Absueltas</t>
  </si>
  <si>
    <t>Personas Condenadas por delitos CONTRA LA VIDA</t>
  </si>
  <si>
    <t>Personas Condenadas por Abandono de incapces y casos de agravación</t>
  </si>
  <si>
    <t>Personas Condenadas por Agresión Calificada</t>
  </si>
  <si>
    <t>Personas Condenadas por Aborto con o sin consentimiento</t>
  </si>
  <si>
    <t>Personas Condenadas por Aborto procurado</t>
  </si>
  <si>
    <t>Personas Condenadas por Agresión Con Arma</t>
  </si>
  <si>
    <t>Personas Condenadas por Descuido con Animales (Artículo 130 Bis)</t>
  </si>
  <si>
    <t>Personas Condenadas por Homicidio Calificado</t>
  </si>
  <si>
    <t>Personas Condenadas por Homicidio Calificado, Tentativa de</t>
  </si>
  <si>
    <t>Personas Condenadas por Homicidio Culposo</t>
  </si>
  <si>
    <t>Personas Condenadas por Homicidio Culposo (Mal praxis)</t>
  </si>
  <si>
    <t>Personas Condenadas por Homicidio Especialmente Atenuado</t>
  </si>
  <si>
    <t>Personas Condenadas por Homicidio Simple</t>
  </si>
  <si>
    <t>Personas Condenadas por Homicidio Simple, Tentativa De</t>
  </si>
  <si>
    <t>Personas Condenadas por Lesiones Culposas</t>
  </si>
  <si>
    <t>Personas Condenadas por Lesiones Culposas (Mala Praxis)</t>
  </si>
  <si>
    <t>Personas Condenadas por Lesiones En Riña</t>
  </si>
  <si>
    <t>Personas Condenadas por Lesiones Graves</t>
  </si>
  <si>
    <t>Personas Condenadas por Lesiones Gravísimas</t>
  </si>
  <si>
    <t>Personas Condenadas por Lesiones Leves</t>
  </si>
  <si>
    <t>Personas Condenadas por delitos CONTRA EL HONOR</t>
  </si>
  <si>
    <t>Personas Condenadas por Calumnias</t>
  </si>
  <si>
    <t>Personas Condenadas por Difamación</t>
  </si>
  <si>
    <t>Personas Condenadas por Injurias</t>
  </si>
  <si>
    <t>Personas Condenadas por delitos SEXUALES</t>
  </si>
  <si>
    <t>Personas Condenadas por Abusos Sexuales Personas Mayores de Edad</t>
  </si>
  <si>
    <t>Personas Condenadas por Abusos Sexuales Personas Mayores de Edad (tentativa)</t>
  </si>
  <si>
    <t>Personas Condenadas por Abusos Sexuales Personas Menores Edad e Incapaces</t>
  </si>
  <si>
    <t>Personas Condenadas por Abusos Sexuales Personas Menores Edad e Incapaces (tentativa)</t>
  </si>
  <si>
    <t>Personas Condenadas por Actos Sexuales Remunerados con Persona Menor de Edad</t>
  </si>
  <si>
    <t>Personas Condenadas por Corrupción de menores</t>
  </si>
  <si>
    <t>Personas Condenadas por Corrupción</t>
  </si>
  <si>
    <t>Personas Condenadas por Corrupción Agravada</t>
  </si>
  <si>
    <t>Personas Condenadas por Difusión De Pornografía</t>
  </si>
  <si>
    <t>Personas Condenadas por Fabricación o Producción de Pornografía</t>
  </si>
  <si>
    <t>Personas Condenadas por Proxenetismo</t>
  </si>
  <si>
    <t>Personas Condenadas por Proxenetismo Agravado</t>
  </si>
  <si>
    <t>Personas Condenadas por Relaciones sexuales con menor de edad (estupro o incesto)</t>
  </si>
  <si>
    <t>Personas Condenadas por Relaciones sexuales con menor de edad (inc 1, art 159)</t>
  </si>
  <si>
    <t>Personas Condenadas por Relaciones sexuales con menor de edad (inc 2, art 159)</t>
  </si>
  <si>
    <t>Personas Condenadas por Relaciones Remuneradas Personas Menores de Edad</t>
  </si>
  <si>
    <t>Personas Condenadas por Relaciones Remuneradas Personas Menores de Edad (tentativa)</t>
  </si>
  <si>
    <t>Personas Condenadas por Relaciones Sexuales Personas Menores de Edad</t>
  </si>
  <si>
    <t>Personas Condenadas por Seducción O Encuentros Con Menores Por Medios Electrónicos</t>
  </si>
  <si>
    <t>Personas Condenadas por Seducción O Encuentros Con Personas Menores De Edad</t>
  </si>
  <si>
    <t>Personas Condenadas por Tenencia de material pornográfico</t>
  </si>
  <si>
    <t>Personas Condenadas por Trata De Personas</t>
  </si>
  <si>
    <t>Personas Condenadas por Violación</t>
  </si>
  <si>
    <t>Personas Condenadas por Violación (tentativa)</t>
  </si>
  <si>
    <t>Personas Condenadas por Violación Calificada</t>
  </si>
  <si>
    <t>Personas Condenadas por Tentativa de Violación Calificada</t>
  </si>
  <si>
    <t>Personas Condenadas por delitos CONTRA LA FAMILIA</t>
  </si>
  <si>
    <t>Personas Condenadas por Expendio O Procuración De Bebidas Alcohólicas Y Tabaco A Menores O Incapaces</t>
  </si>
  <si>
    <t>Personas Condenadas por Incumplimiento del Deber Alimentario</t>
  </si>
  <si>
    <t>Personas Condenadas por Incumplimiento o Abuso de Patria Potestad</t>
  </si>
  <si>
    <t>Personas Condenadas por Simulación de matrimonio</t>
  </si>
  <si>
    <t>Personas Condenadas por Sustracción De Persona Menor O Con Discapacidad</t>
  </si>
  <si>
    <t>Personas Condenadas por Sustracción Simple de Persona Menor o Incapaz</t>
  </si>
  <si>
    <t>Personas Condenadas por Sustracción Agravada de Persona Menor o Incapaz</t>
  </si>
  <si>
    <t>Personas Condenadas por delitos CONTRA LA LIBERTAD</t>
  </si>
  <si>
    <t>Personas Condenadas por Amenazas Agravadas</t>
  </si>
  <si>
    <t>Personas Condenadas por Coacción</t>
  </si>
  <si>
    <t>Personas Condenadas por Privación de libertad agravada</t>
  </si>
  <si>
    <t>Personas Condenadas por Privación de Libertad sin Ánimo de Lucro</t>
  </si>
  <si>
    <t>Personas Condenadas por delitos CONTRA EL ÁMBITO DE LA INTIMIDAD</t>
  </si>
  <si>
    <t>Personas Condenadas por Violación de Correspondencia o Comunicaciones</t>
  </si>
  <si>
    <t>Personas Condenadas por Violación De Datos Personales</t>
  </si>
  <si>
    <t>Personas Condenadas por Violación de comunicaciones electrónicas (art 196 bis)</t>
  </si>
  <si>
    <t>Personas Condenadas por Violación De Domicilio</t>
  </si>
  <si>
    <t>Personas Condenadas por delitos CONTRA LA PROPIEDAD</t>
  </si>
  <si>
    <t>Personas Condenadas por Administración Fraudulenta</t>
  </si>
  <si>
    <t>Personas Condenadas por Apropiación Irregular</t>
  </si>
  <si>
    <t>Personas Condenadas por Apropiación Y Retención Indebida</t>
  </si>
  <si>
    <t>Personas Condenadas por Daño Agravado</t>
  </si>
  <si>
    <t>Personas Condenadas por Daños</t>
  </si>
  <si>
    <t>Personas Condenadas por Estafa</t>
  </si>
  <si>
    <t>Personas Condenadas por Estafa (tentativa)</t>
  </si>
  <si>
    <t>Personas Condenadas por Estafa de Seguro</t>
  </si>
  <si>
    <t>Personas Condenadas por Estafa mediante Cheque</t>
  </si>
  <si>
    <t>Personas Condenadas por Estelionato</t>
  </si>
  <si>
    <t>Personas Condenadas por Extorsión Simple</t>
  </si>
  <si>
    <t>Personas Condenadas por Fraude de Simulación</t>
  </si>
  <si>
    <t>Personas Condenadas por Fraude Informático (Art. 217 Bis)</t>
  </si>
  <si>
    <t>Personas Condenadas por Hurto Agravado</t>
  </si>
  <si>
    <t>Personas Condenadas por Hurto Agravado (tentaiva de)</t>
  </si>
  <si>
    <t>Personas Condenadas por Hurto Atenuado</t>
  </si>
  <si>
    <t>Personas Condenadas por Hurto Atenuado (tentativa)</t>
  </si>
  <si>
    <t>Personas Condenadas por Hurto de Uso</t>
  </si>
  <si>
    <t>Personas Condenadas por Hurto</t>
  </si>
  <si>
    <t>Personas Condenadas por Hurto, Tentativa de</t>
  </si>
  <si>
    <t>Personas Condenadas por Robo Agravado</t>
  </si>
  <si>
    <t>Personas Condenadas por Robo Agravado, Tentativa de</t>
  </si>
  <si>
    <t>Personas Condenadas por Robo</t>
  </si>
  <si>
    <t>Personas Condenadas por Robo, Tentativa de</t>
  </si>
  <si>
    <t>Personas Condenadas por Secuestro Extorsivo</t>
  </si>
  <si>
    <t>Personas Condenadas por Tentativa De Hurto Agravado</t>
  </si>
  <si>
    <t>Personas Condenadas por Usurpación</t>
  </si>
  <si>
    <t>Personas Condenadas por Usurpación de Aguas</t>
  </si>
  <si>
    <t>Personas Condenadas por Usurpación de Bienes de Dominio Público</t>
  </si>
  <si>
    <t>Personas Condenadas por delitos CONTRA LA BUENA FÉ DE LOS NEGOCIOS</t>
  </si>
  <si>
    <t>Personas Condenadas por Explotación de Incapaces</t>
  </si>
  <si>
    <t>Personas Condenadas por Autorización de actos indebidos</t>
  </si>
  <si>
    <t>Personas Condenadas por Insolvencia Fraudulenta</t>
  </si>
  <si>
    <t>Personas Condenadas por Libramiento de Cheques sin Fondos</t>
  </si>
  <si>
    <t>Personas Condenadas por Publicación y Autorización Balances Falsos</t>
  </si>
  <si>
    <t>Personas Condenadas por Quiebra Fraudulenta</t>
  </si>
  <si>
    <t>Personas Condenadas por delitos CONTRA LA SEGURIDAD COMÚN</t>
  </si>
  <si>
    <t>Personas Condenadas por Accionamiento De Arma (Artículo 250 Bis)</t>
  </si>
  <si>
    <t>Personas Condenadas por Desastre por culpa</t>
  </si>
  <si>
    <t>Personas Condenadas por Incendio o Explosión</t>
  </si>
  <si>
    <t>Personas Condenadas por Obstrucción De La Vía Pública (Artículo 256 Bis)</t>
  </si>
  <si>
    <t>Personas Condenadas por Piratería</t>
  </si>
  <si>
    <t>Personas Condenadas por delitos CONTRA LA TRANQUILIDAD PÚBLICA</t>
  </si>
  <si>
    <t>Personas Condenadas por Asociación ilícita</t>
  </si>
  <si>
    <t>Personas Condenadas por delitos CONTRA LA AUTORIDAD PÚBLICA</t>
  </si>
  <si>
    <t>Personas Condenadas por Amenaza a un Funcionario Público</t>
  </si>
  <si>
    <t>Personas Condenadas por Atentado</t>
  </si>
  <si>
    <t>Personas Condenadas por Desobediencia</t>
  </si>
  <si>
    <t>Personas Condenadas por Desobediencia a la Autoridad</t>
  </si>
  <si>
    <t>Personas Condenadas por Ejercicio ilegal de una peofesión</t>
  </si>
  <si>
    <t>Personas Condenadas por Molestia o Estorbo a la Autoridad</t>
  </si>
  <si>
    <t>Personas Condenadas por Perjurio</t>
  </si>
  <si>
    <t>Personas Condenadas por Resistencia</t>
  </si>
  <si>
    <t>Personas Condenadas por Resistencia Agravada</t>
  </si>
  <si>
    <t>Personas Condenadas por Usurpación de autoridad</t>
  </si>
  <si>
    <t>Personas Condenadas por Uso Ilegal de Uniforme e Insignias o Dispositivos Policiales</t>
  </si>
  <si>
    <t>Personas Condenadas por Violación de la custodia de cosas</t>
  </si>
  <si>
    <t>Personas Condenadas por Violación de Sellos</t>
  </si>
  <si>
    <t>Personas Condenadas por delitos CONTRA LA ADMINISTRACIÓN DE JUSTICIA</t>
  </si>
  <si>
    <t>Personas Condenadas por Denuncias y querellas calumniosas y calumnia real</t>
  </si>
  <si>
    <t>Personas Condenadas por Evasión</t>
  </si>
  <si>
    <t>Personas Condenadas por Evasión tentativa</t>
  </si>
  <si>
    <t>Personas Condenadas por Falso Testimonio</t>
  </si>
  <si>
    <t>Personas Condenadas por Favorecimiento Personal</t>
  </si>
  <si>
    <t>Personas Condenadas por Favorecimiento Real</t>
  </si>
  <si>
    <t>Personas Condenadas por Quebramiento de Inhabilitación</t>
  </si>
  <si>
    <t>Personas Condenadas por Receptación</t>
  </si>
  <si>
    <t>Personas Condenadas por Receptación de Cosas de Dudosa Procedencia Sospechosa</t>
  </si>
  <si>
    <t>Personas Condenadas por Soborno</t>
  </si>
  <si>
    <t>Personas Condenadas por Simulación De Delito</t>
  </si>
  <si>
    <t>Personas Condenadas por delitos CONTRA LOS DEBERES DE LA FUNCIÓN PÚBLICA</t>
  </si>
  <si>
    <t>Personas Condenadas por Abuso de Autoridad</t>
  </si>
  <si>
    <t>Personas Condenadas por Cohecho Propio</t>
  </si>
  <si>
    <t>Personas Condenadas por Concusión</t>
  </si>
  <si>
    <t>Personas Condenadas por Corrupción de Jueces</t>
  </si>
  <si>
    <t>Personas Condenadas por Peculado</t>
  </si>
  <si>
    <t>Personas Condenadas por Incumplimiento de deberes</t>
  </si>
  <si>
    <t>Personas Condenadas por Requerimiento de fuerza mayor contra actos legítimos</t>
  </si>
  <si>
    <t>Personas Condenadas por Patrocinio infiel</t>
  </si>
  <si>
    <t>Personas Condenadas por Penalidad del Corruptor</t>
  </si>
  <si>
    <t>Personas Condenadas por delitos CONTRA LA FÉ PÚBLICA</t>
  </si>
  <si>
    <t>Personas Condenadas por Circulación de Moneda Falsa Recibida de Buena Fe</t>
  </si>
  <si>
    <t>Personas Condenadas por Falsedad Ideológica</t>
  </si>
  <si>
    <t>Personas Condenadas por Falsificación de Documentos Privados</t>
  </si>
  <si>
    <t>Personas Condenadas por Falsificación de Documentos Públicos y Auténticos</t>
  </si>
  <si>
    <t>Personas Condenadas por Falsificación de Moneda</t>
  </si>
  <si>
    <t>Personas Condenadas por Falsificación De Señas Y Marcas</t>
  </si>
  <si>
    <t>Personas Condenadas por Falsificación de cheques sin fondos</t>
  </si>
  <si>
    <t>Personas Condenadas por Valores equiparados a moneda</t>
  </si>
  <si>
    <t>Personas Condenadas por Uso De Falso Documento</t>
  </si>
  <si>
    <t>Personas Condenadas por LEY SOBRE ESTUPEFACIENTES, SUSTANCIAS PSICOTRÓPICAS, DROGAS DE USO NO AUTORIZADO Y ACTIVIDADES CONEXAS</t>
  </si>
  <si>
    <t>Personas Condenadas por Almacenamiento de Drogas, Sustancias o Productos sin Autorización Legal</t>
  </si>
  <si>
    <t>Personas Condenadas por Comercio de Drogas, Sustancias o Productos sin Autorización Legal</t>
  </si>
  <si>
    <t>Personas Condenadas por Cultivo de Droga, Sustancias o Productos sin Autorización Legal</t>
  </si>
  <si>
    <t>Personas Condenadas por Distribución de Drogas, Sustancias o Productos sin Autorización Legal</t>
  </si>
  <si>
    <t>Personas Condenadas por Fabricación de Drogas, Sustancias o Productos sin Autorización Legal</t>
  </si>
  <si>
    <t>Personas Condenadas por Facilitación en la legitimación de Capitales (Propietario, Directivo, Administrador o Empleado del Órgano de Supervisión o Fiscalización)</t>
  </si>
  <si>
    <t>Personas Condenadas por Falta de registro en elk control de movimiento de estuperfacientes</t>
  </si>
  <si>
    <t>Personas Condenadas por Infracción.  Ley sobre Estupefacientes, Sustancias Psicotrópicas, Drogas de Uso no Autorizado y Actividades Conexas</t>
  </si>
  <si>
    <t>Personas Condenadas por Introducción de Droga del Centro Penitenciario</t>
  </si>
  <si>
    <t>Personas Condenadas por Legitimación de Capitales Provenientes del Narcotráfico</t>
  </si>
  <si>
    <t>Personas Condenadas por Legitimación de Capitales</t>
  </si>
  <si>
    <t>Personas Condenadas por Posesión De Drogas, Sustancias O Productos</t>
  </si>
  <si>
    <t>Personas Condenadas por Posesión sin Autorización de Precursores o otras Sustancias para Procesar Drogas</t>
  </si>
  <si>
    <t>Personas Condenadas por Preparación de Drogas, Sustancias o Productos sin Autorización Legal</t>
  </si>
  <si>
    <t>Personas Condenadas por Procuración de Impunidad o Evasión de Personas sujetas a la Investigación Penal (Funcionario Público)</t>
  </si>
  <si>
    <t>Personas Condenadas por Producción de Drogas, Sustancias o Productos sin Autorización Legal</t>
  </si>
  <si>
    <t>Personas Condenadas por Suministro de drogas</t>
  </si>
  <si>
    <t>Personas Condenadas por Tenencia De Droga</t>
  </si>
  <si>
    <t>Personas Condenadas por Tráfico de Drogas</t>
  </si>
  <si>
    <t>Personas Condenadas por Tráfico Internacional de Drogas</t>
  </si>
  <si>
    <t>Personas Condenadas por Transformación de Drogas, Sustancias o Productos sin Autorización Legal</t>
  </si>
  <si>
    <t>Personas Condenadas por Transporte De Droga, Sustancias O Productos Sin Autorización Legal</t>
  </si>
  <si>
    <t>Personas Condenadas por Venta De Drogas, Sustancias O Productos Sin Autorización Legal</t>
  </si>
  <si>
    <t>Personas Condenadas por INFRACCIÓN LEY DE ARMAS Y EXPLOSIVOS</t>
  </si>
  <si>
    <t>Personas Condenadas por Comercio De Armas, Explosivos Y Pólvora</t>
  </si>
  <si>
    <t>Personas Condenadas por Alteración de características</t>
  </si>
  <si>
    <t>Personas Condenadas por Fabricación, exportación e importación ilegal</t>
  </si>
  <si>
    <t>Personas Condenadas por Infracción.  Ley de Armas y Explosivos  y su  Reglamento</t>
  </si>
  <si>
    <t>Personas Condenadas por Introducción y Tráfico de Materiales Prohibidos</t>
  </si>
  <si>
    <t>Personas Condenadas por Portación Ilícita De Arma Permitida</t>
  </si>
  <si>
    <t>Personas Condenadas por Tenencia Y Portación Ilegal De Armas Permitidas</t>
  </si>
  <si>
    <t>Personas Condenadas por Tenencia y Portación Ilegal de Armas Prohibidas</t>
  </si>
  <si>
    <t>Personas Condenadas por INFRACCIÓN LEY PENALIZACIÓN DE LA
VIOLENCIA CONTRA LA MUJER</t>
  </si>
  <si>
    <t>Personas Condenadas por Amenazas Contra Una Mujer</t>
  </si>
  <si>
    <t>Personas Condenadas por conductas sexuales abusivas</t>
  </si>
  <si>
    <t>Personas Condenadas por Daño Patrimonial</t>
  </si>
  <si>
    <t>Personas Condenadas por Femicidio</t>
  </si>
  <si>
    <t>Personas Condenadas por Femicidio (tentaiva)</t>
  </si>
  <si>
    <t>Personas Condenadas por Fraude de Simulación sobre bienes suceptibles de ser gananciales</t>
  </si>
  <si>
    <t>Personas Condenadas por Incumplimiento de deberes agravado</t>
  </si>
  <si>
    <t>Personas Condenadas por Incumplimiento una medida protección</t>
  </si>
  <si>
    <t>Personas Condenadas por Limitación ejercicio derecho de propiedad</t>
  </si>
  <si>
    <t>Personas Condenadas por Maltrato</t>
  </si>
  <si>
    <t>Personas Condenadas por Ofensas A La Dignidad</t>
  </si>
  <si>
    <t>Personas Condenadas por Restricción a la Autodeterminación</t>
  </si>
  <si>
    <t>Personas Condenadas por Restricción libertad de tránsito</t>
  </si>
  <si>
    <t>Personas Condenadas por Sustracción Patrimonial</t>
  </si>
  <si>
    <t>Personas Condenadas por Violación contra una Mujer</t>
  </si>
  <si>
    <t>Personas Condenadas por INFRACCIÓN LEY FORESTAL</t>
  </si>
  <si>
    <t>Personas Condenadas por Adquisición o procesamiento ilegal de productos forestales</t>
  </si>
  <si>
    <t>Personas Condenadas por Adquisición y procesamiento Ilegal de madera</t>
  </si>
  <si>
    <t>Personas Condenadas por Anillado De Arboles, Aprovechamiento De Productos Forestales Y Cambio De Uso De Suelo</t>
  </si>
  <si>
    <t>Personas Condenadas por Aprovechamiento de productos forestales en propiedad privada sin el permiso de la AFE o en excediendo el permiso Art. 61 inc a)</t>
  </si>
  <si>
    <t>Personas Condenadas por Aprovechamiento de recursos forestales patrimonio natural del Estado</t>
  </si>
  <si>
    <t>Personas Condenadas por Aprovechamiento En Áreas De Protección</t>
  </si>
  <si>
    <t>Personas Condenadas por Aprovechamiento ilegal de madera</t>
  </si>
  <si>
    <t>Personas Condenadas por Cambio de uso del suelo (bosque)</t>
  </si>
  <si>
    <t>Personas Condenadas por Incendio forestal con culpa</t>
  </si>
  <si>
    <t>Personas Condenadas por Infracción a la Ley Forestal</t>
  </si>
  <si>
    <t>Personas Condenadas por Invasión a un área de conservación o protección</t>
  </si>
  <si>
    <t>Personas Condenadas por Movilización de madera de bosque o plantación sin permisos</t>
  </si>
  <si>
    <t>Personas Condenadas por Sustracción de productos forestales propiedad privada</t>
  </si>
  <si>
    <t>Personas Condenadas por Sustracción de productos forestales propiedad Estado</t>
  </si>
  <si>
    <t>Personas Condenadas por Tala en zona de protección</t>
  </si>
  <si>
    <t>Personas Condenadas por Transporte de productos forestales sustraídos.</t>
  </si>
  <si>
    <t>Personas Condenadas por Transporte ilegal de madera</t>
  </si>
  <si>
    <t>Personas Condenadas por INFRACCIÓN LEY PROTECCIÓN ADULTO MAYOR</t>
  </si>
  <si>
    <t>Personas Condenadas por Agresión física</t>
  </si>
  <si>
    <t>Personas Condenadas por Agresión psicológica</t>
  </si>
  <si>
    <t>Personas Condenadas por Explotación De Personas Adultas Mayores</t>
  </si>
  <si>
    <t>Personas Condenadas por Infracción Ley Protección Adulto Mayor</t>
  </si>
  <si>
    <t>Personas Condenadas por INFRACCIÓN LEY CONSERVACIÓN VIDA SILVESTRE</t>
  </si>
  <si>
    <t>Personas Condenadas por Caza o destrucción de nidos de fauna silvestre sin la autorización del SINAC en áreas de conservación de vida silvestre.</t>
  </si>
  <si>
    <t>Personas Condenadas por Comercialización o negocio de animales silvestres</t>
  </si>
  <si>
    <t>Personas Condenadas por Comercio, trafico o trasiego de flora silvestre, productos y subproductos de especies en peligro de extinción sin el permiso del SINAC</t>
  </si>
  <si>
    <t>Personas Condenadas por Comercio, trafico, trasiego de animales silvestres sin el permiso del SINAC</t>
  </si>
  <si>
    <t>Personas Condenadas por Comercio, trafico, trasiego de animales silvestres en peligro de extinción sin el permiso del SINAC</t>
  </si>
  <si>
    <t>Personas Condenadas por Drenaje, relleno, secado o eliminación de humedales</t>
  </si>
  <si>
    <t>Personas Condenadas por Exportación o importación de animales silvestres, sus productos y derivados, sin el permiso del SINAC</t>
  </si>
  <si>
    <t>Personas Condenadas por Exportación o importación de flora silvestre sin la autorización del SINAC</t>
  </si>
  <si>
    <t>Personas Condenadas por Exportación o importación de flora silvestre, productos o suproductos de especies en peligro de extinción, poblaciones reducidas o especies amenazadas</t>
  </si>
  <si>
    <t>Personas Condenadas por Extracción, destrucción de plantas o sus productos sin autorización en áreas oficiales de protección.</t>
  </si>
  <si>
    <t>Personas Condenadas por Infracción.  Ley de Conservación de la Vida Silvestre</t>
  </si>
  <si>
    <t>Personas Condenadas por Pesca ilegal en aguas continentales</t>
  </si>
  <si>
    <t>Personas Condenadas por Infracción Ley de Conservación de la Vida Silvestre</t>
  </si>
  <si>
    <t>Personas Condenadas por INFRACCIÓN LEY GENERAL DE ADUANAS</t>
  </si>
  <si>
    <t>Personas Condenadas por Defraudación Fiscal Aduanera. Artículo 214</t>
  </si>
  <si>
    <t>Personas Condenadas por Contrabando art 211</t>
  </si>
  <si>
    <t>Personas Condenadas por Incumplimiento De Medidas De Seguridad. Artículo 218</t>
  </si>
  <si>
    <t>Personas Condenadas por LEY DE VIOLENCIA DOMÉSTICA</t>
  </si>
  <si>
    <t>Personas Condenadas por Infracción Ley Violencia Doméstica</t>
  </si>
  <si>
    <t>Personas Condenadas por V.D. Amenazas agravadas</t>
  </si>
  <si>
    <t>Personas Condenadas por V.D. Lesiones</t>
  </si>
  <si>
    <t>Personas Condenadas por V.D. Desobediencia</t>
  </si>
  <si>
    <t>Personas Condenadas por LEY DE TRANSITO</t>
  </si>
  <si>
    <t>Personas Condenadas por Conducción Temeraria</t>
  </si>
  <si>
    <t>Personas Condenadas por Homicidio Culposo (Ley de Tránsito)</t>
  </si>
  <si>
    <t>Personas Condenadas por Lesiones Culposas (Ley De Tránsito)</t>
  </si>
  <si>
    <t>Personas Condenadas por LEY 8799 CONTROL DE GANADO BOVINO, PREVENCIÓN Y SANCIÓN DE SU ROBO, HURTO Y RECEPTACIÓN</t>
  </si>
  <si>
    <t>Personas Condenadas por Hurto con desmembramiento o muerte ilegal de ganado</t>
  </si>
  <si>
    <t>Personas Condenadas por Movilización ilegal de ganado, productos y subproductos</t>
  </si>
  <si>
    <t>Personas Condenadas por Trata, turismo sexual</t>
  </si>
  <si>
    <t>Personas Condenadas por Trata, tráfico ilicito de persona internacional</t>
  </si>
  <si>
    <t>Personas Condenadas por Trata, tráfico ilicito de persona nacional</t>
  </si>
  <si>
    <t>Personas Condenadas por Trata, trata para cualquier forma de explotación sexual</t>
  </si>
  <si>
    <t>Personas Condenadas por Trata, tráfico de órganos</t>
  </si>
  <si>
    <t>Personas Condenadas por Trata, explotación laboral</t>
  </si>
  <si>
    <t>Personas Condenadas por Trata, tráfico de persona menor de edad</t>
  </si>
  <si>
    <t>Personas Condenadas por INFRACCIÓN LEY DELITOS MINEROS</t>
  </si>
  <si>
    <t>Personas Condenadas por Explotación ilegal de material</t>
  </si>
  <si>
    <t>Personas Condenadas por Explotación ilegal de material en parque nacional o áreas de protección</t>
  </si>
  <si>
    <t>Personas Condenadas por patrocinio actividades mineras ilícitas</t>
  </si>
  <si>
    <t>Personas Condenadas por Infracción Ley Minería</t>
  </si>
  <si>
    <t>Personas Condenadas por INFRACCIÓN LEY GENERAL DE MIGRACIÓN Y EXTANJERÍA</t>
  </si>
  <si>
    <t>Personas Condenadas por Infracción Ley General de Migración y Extranjería</t>
  </si>
  <si>
    <t>Personas Condenadas por Tráfico ilícito de personas (Art 249 Bis)</t>
  </si>
  <si>
    <t>Personas Condenadas por Tráfico ilícito de personas (Art 249)</t>
  </si>
  <si>
    <t>Personas Condenadas por INFRACCIÓN DELITOS PESQUEROS</t>
  </si>
  <si>
    <t>Personas Condenadas por Pesca Comercial O Deportiva Ilegal En Parques Nacionales, Monumentos Naturales Y Reservas Biológicas</t>
  </si>
  <si>
    <t>Personas Condenadas por Descarga de aletas de tiburón sin vástago</t>
  </si>
  <si>
    <t>Personas Condenadas por Actividad pesquera sin utilizar el dispositivo excluidor de tortugas ( TED)</t>
  </si>
  <si>
    <t>Personas Condenadas por Comercio, transporte, industrialización ilegal de productos de flora y fauna acuáticos</t>
  </si>
  <si>
    <t>Personas Condenadas por Persecución, captura, herir, matar, trasegar, comerciar quelonios, mamíferos marinos o especies acuáticas en peligro de extinción</t>
  </si>
  <si>
    <t>Personas Condenadas por Pesca con artes prohibidos</t>
  </si>
  <si>
    <t>Personas Condenadas por Embarcaciones o artes distintos a los autorizados por INCOPESCA</t>
  </si>
  <si>
    <t>Personas Condenadas por Pesca ilegal sin licencia o con licencia vencida, caduca o revocada menos de 2 meses</t>
  </si>
  <si>
    <t>Personas Condenadas por LEY DE CORRUPCIÓN Y EL ENRIQUECIMIENTO ILICITO EN LA FUNCIÓN PÚBLICA</t>
  </si>
  <si>
    <t>Personas Condenadas por Enriquecimiento Ilícito</t>
  </si>
  <si>
    <t>Personas Condenadas por Falsedad en la recepción de bienes y servicios contratados</t>
  </si>
  <si>
    <t>Personas Condenadas por INFRACCIÓN LEY PARA LA GESTIÓN INTEGRAL DE RESIDUOS</t>
  </si>
  <si>
    <t>Personas Condenadas por Disposición ilegal de residuos peligrosos en áreas de protección, área silvestres, zona marítimo</t>
  </si>
  <si>
    <t>Personas Condenadas por Tráfico ilícito de residuos o sustancias peligrosas, bioinfecciosos o radioactivos</t>
  </si>
  <si>
    <t xml:space="preserve">Personas Condenadas por INFRACCION DELITOS CONTRA EL PATRIMONIO ARQUEOLÓGICO </t>
  </si>
  <si>
    <t>Personas Condenadas por Daño o destrucción de monumento arqueológico</t>
  </si>
  <si>
    <t>Personas Condenadas por INFRACCION. LEY DE PROCEDIMIENTOS DE OBSERVANCIA DE DERECHOS DE PROPIEDAD INTELECTUAL</t>
  </si>
  <si>
    <t>Personas Condenadas por Venta, ofrecimiento, almacenamiento, depósito y distribución de ejemplares fraudulentos</t>
  </si>
  <si>
    <t>Personas Condenadas por DELITOS INFORMÁTICOS</t>
  </si>
  <si>
    <t>Personas Condenadas por Estafa Informática</t>
  </si>
  <si>
    <t>Personas Condenadas por Suplantación de identidad</t>
  </si>
  <si>
    <t>Personas Condenadas por INFRACCIÓN CODIGO FISCAL</t>
  </si>
  <si>
    <t>Personas Condenadas por Defraudación fiscal  contra Hacienda Pública</t>
  </si>
  <si>
    <t>Personas Condenadas por INFRACCIÓN LEYES ESPECIALES</t>
  </si>
  <si>
    <t>Personas Condenadas por Infracción Ley Caza y Pesca</t>
  </si>
  <si>
    <t>Personas Condenadas por Infracción Código de Normas y procedimientos tributarios</t>
  </si>
  <si>
    <t>Personas Condenadas por Infracción Ley del patrimonio histórico arquitectónico de Costa Rica</t>
  </si>
  <si>
    <t>Personas Condenadas por Infracción Ley de aguas</t>
  </si>
  <si>
    <t>Personas Condenadas por Infracción Ley Orgánica del Poder Judicial</t>
  </si>
  <si>
    <t>Personas Condenadas por Infracción Ley Salud animal</t>
  </si>
  <si>
    <t>Personas Condenadas por Infracción Ley  zona marítimo terrestre</t>
  </si>
  <si>
    <t>Personas Condenadas por Infracción Ley de residuos</t>
  </si>
  <si>
    <t>Personas Condenadas por Infracción Ley de licores</t>
  </si>
  <si>
    <t>Personas Condenadas por Infracción Ley de Protección Fitosanitaria</t>
  </si>
  <si>
    <t>Personas Condenadas por Infracción Ley para garantizar al país mayor seguridad y orden</t>
  </si>
  <si>
    <t>Personas Condenadas por Infracción Ley de Derechos de Autor y Derechos Conexos</t>
  </si>
  <si>
    <t>Personas Condenadas por Infracción Ley de Registro de Documentos Privados e Intervención de Comunicaciones</t>
  </si>
  <si>
    <t>Personas Condenadas por Infracción Ley Orgánica del Ambiente</t>
  </si>
  <si>
    <t>Personas Condenadas por CONTRAVENCIONES</t>
  </si>
  <si>
    <t>Personas Condenadas por Amenazas Personales</t>
  </si>
  <si>
    <t>Personas Condenadas por Alteración de dispositivos y señales de tránsito</t>
  </si>
  <si>
    <t>Personas Condenadas por Abandono de animales</t>
  </si>
  <si>
    <t>Personas Condenadas por Daños menores</t>
  </si>
  <si>
    <t>Personas Condenadas por Casa y pesca en terreno vedado</t>
  </si>
  <si>
    <t>Personas Condenadas por Entrada Sin Permiso a terreno ajeno</t>
  </si>
  <si>
    <t>Personas Condenadas por Hurto menor</t>
  </si>
  <si>
    <t>Personas Condenadas por Hurto menor, Tentativa</t>
  </si>
  <si>
    <t>Personas Condenadas por Lesiones Levísimas</t>
  </si>
  <si>
    <t>Personas Condenadas por Usurpación de nombre</t>
  </si>
  <si>
    <t>Personas Condenadas por Negativa a identificarse</t>
  </si>
  <si>
    <t>Personas Condenadas por Maltrato a Animales</t>
  </si>
  <si>
    <t>Total de persona detenidas sin sentencia a la orden de las oficinas judiciales</t>
  </si>
  <si>
    <t>Hombres detenidas sin sentencia a la orden de las of judiciales</t>
  </si>
  <si>
    <t>Mujeres detenidas sin sentencia a la orden de las of judiciales</t>
  </si>
  <si>
    <t>Personas detenidas sin sentencia en los tribunales penales</t>
  </si>
  <si>
    <t>Personas detenidas sin sentencia en los juzgados penales</t>
  </si>
  <si>
    <t>Personas detenidas sin sent a la orden del Inst. de Criminología- a 1 mes</t>
  </si>
  <si>
    <t>Personas detenidas sin sent a la orden del Inst. de Criminología- de más de 1 mes a 2 meses</t>
  </si>
  <si>
    <t>Personas detenidas sin sent a la orden del Inst. de Criminología- de más de 2 meses a 3 meses</t>
  </si>
  <si>
    <t>Personas detenidas sin sent a la orden del Inst. de Criminología- de más de 3 meses a 6 meses</t>
  </si>
  <si>
    <t>Personas detenidas sin sent a la orden del Inst. de Criminología- de más de 6 meses a 9 meses</t>
  </si>
  <si>
    <t>Personas detenidas sin sent a la orden del Inst. de Criminología- de más de 9 meses a 1 año</t>
  </si>
  <si>
    <t>Personas detenidas sin sent a la orden del Inst. de Criminología- de más de 12 meses a 18 meses</t>
  </si>
  <si>
    <t>Personas detenidas sin sent a la orden del Inst. de Criminología- de más de 18 meses a 24 meses</t>
  </si>
  <si>
    <t>Personas detenidas sin sent a la orden del Inst. de Criminología- de más de 24 meses a 30 meses</t>
  </si>
  <si>
    <t>Personas detenidas sin sent a la orden del Inst. de Criminología- de más de 30 meses</t>
  </si>
  <si>
    <t>Personas detenidas con sentencia que aún no han sido puestas a la orden del Instituto de Criminología</t>
  </si>
  <si>
    <t>Hombres detenidos con sentencia que aún no han sido puestas a la orden del Instituto de Criminología</t>
  </si>
  <si>
    <t>Mujeres detenidas con sentencia que aún no han sido puestas a la orden del Instituto de Criminología</t>
  </si>
  <si>
    <t>Personas detenidas con sent que aún no han sido puestas a la orden del Inst. de Criminología- 0 a 16 días tiempo en Prisión Preventiva</t>
  </si>
  <si>
    <t>Personas detenidas con sent que aún no han sido puestas a la orden del Inst. de Criminología- de mas de 16 días a 1 mes</t>
  </si>
  <si>
    <t>Personas detenidas con sent que aún no han sido puestas a la orden del Inst. de Criminología- de más de 1 mes a 3 meses</t>
  </si>
  <si>
    <t>Personas detenidas con sent que aún no han sido puestas a la orden del Inst. de Criminología- de más de 3 meses a 6 meses</t>
  </si>
  <si>
    <t>Personas detenidas con sent que aún no han sido puestas a la orden del Inst. de Criminología- de más de 6 meses a 9 meses</t>
  </si>
  <si>
    <t>Personas detenidas con sent que aún no han sido puestas a la orden del Inst. de Criminología- de más de 9 meses a 1 año</t>
  </si>
  <si>
    <t>Personas detenidas con sent que aún no han sido puestas a la orden del Inst. de Criminología- de más de 12 meses a 18 meses</t>
  </si>
  <si>
    <t>Personas detenidas con sent que aún no han sido puestas a la orden del Inst. de Criminología- de más de 18 meses a 24 meses</t>
  </si>
  <si>
    <t>Personas detenidas con sent que aún no han sido puestas a la orden del Inst. de Criminología- de más de 24 meses</t>
  </si>
  <si>
    <t>Personas procesadas en prisión preventiva que podrían acceder a la libertad condicional</t>
  </si>
  <si>
    <t>Personas condenadas que teniendo sentencia firme, se encuentran en fuga</t>
  </si>
  <si>
    <t>Población reclusa</t>
  </si>
  <si>
    <t>Población penitenciaria (condenados + procesados)</t>
  </si>
  <si>
    <t>Población penitenciaria total</t>
  </si>
  <si>
    <t>Población penitenciaria-condenada</t>
  </si>
  <si>
    <t>Población penitenciaria-Suspensión a prueba</t>
  </si>
  <si>
    <t>Población penitenciaria-Procesados</t>
  </si>
  <si>
    <t>Población penitenciaria-Sanciones alternativas</t>
  </si>
  <si>
    <t>Población penitenciaria-Pensión alimentaria</t>
  </si>
  <si>
    <t>Población penitenciaria-extraditables y otros</t>
  </si>
  <si>
    <t>Duración</t>
  </si>
  <si>
    <t>Duración promedio en materia Civil-total</t>
  </si>
  <si>
    <t>Duración promedio en materia Civil-sentencias</t>
  </si>
  <si>
    <t>Duración promedio en materia Civil-Acuerdo Homologado</t>
  </si>
  <si>
    <t>Duración promedio en materia Civil-Acumulación</t>
  </si>
  <si>
    <t>Duración promedio en materia Civil-Archivo</t>
  </si>
  <si>
    <t>Duración promedio en materia Civil-Arch demanda monitoreo arrendaticio</t>
  </si>
  <si>
    <t>Duración promedio en materia Civil-Arreglo extrajudicial</t>
  </si>
  <si>
    <t>Duración promedio en materia Civil-Autosentencias</t>
  </si>
  <si>
    <t>Duración promedio en materia Civil-Certificación expedita</t>
  </si>
  <si>
    <t>Duración promedio en materia Civil-Demanda Inadmisible</t>
  </si>
  <si>
    <t>Duración promedio en materia Civil-Rechazo de plano</t>
  </si>
  <si>
    <t>Duración promedio en materia Civil-Deserción</t>
  </si>
  <si>
    <t>Duración promedio en materia Civil-Desistimiento</t>
  </si>
  <si>
    <t>Duración promedio en materia Civil-Devuelto oficina de origen</t>
  </si>
  <si>
    <t>Duración promedio en materia Civil-Ejecución cumplida</t>
  </si>
  <si>
    <t>Duración promedio en materia Civil-Excepción previa</t>
  </si>
  <si>
    <t>Duración promedio en materia Civil-Improcedencia vía judicial</t>
  </si>
  <si>
    <t>Duración promedio en materia Civil-Incompetencia</t>
  </si>
  <si>
    <t>Duración promedio en materia Civil-Matrimonios realizados</t>
  </si>
  <si>
    <t>Duración promedio en materia Civil-Prescripción</t>
  </si>
  <si>
    <t>Duración promedio en materia Civil-Rechazo, falta interés de la parte</t>
  </si>
  <si>
    <t>Duración promedio en materia Civil-Resuelto por el Centro de Conciliación</t>
  </si>
  <si>
    <t>Duración promedio en materia Civil-Resolución intimatoria sin oposición</t>
  </si>
  <si>
    <t>Duración promedio en materia Civil-Sentencia dictada (SL)</t>
  </si>
  <si>
    <t>Duración promedio en materia Civil-Caducidad</t>
  </si>
  <si>
    <t>Duración promedio en materia Civil-Transacción</t>
  </si>
  <si>
    <t>Duración promedio en materia Civil-Separarse de la procecusión</t>
  </si>
  <si>
    <t>Duración promedio en materia Civil-Prueba anticipada recibida</t>
  </si>
  <si>
    <t>Duración promedio en materia Civil-Renuncia derecho</t>
  </si>
  <si>
    <t>Duración promedio en materia Civil-Acumulación de procesos</t>
  </si>
  <si>
    <t>Duración promedio en materia Civil-Conciliación homologada SEP</t>
  </si>
  <si>
    <t>Duración promedio en materia Civil-Desistimiento total SEP</t>
  </si>
  <si>
    <t>Duración promedio en materia Civil-Finaliza actividad no contenciosa</t>
  </si>
  <si>
    <t>Duración promedio en materia Civil-Herencia distribuida sin rendición de cuentas</t>
  </si>
  <si>
    <t>Duración promedio en materia Civil-Proc. Inadmisible sin condena</t>
  </si>
  <si>
    <t>Duración promedio en materia Civil-Rechazo de plano del proceso SEP</t>
  </si>
  <si>
    <t>Duración promedio en materia Civil-Satisfacción extraprocesal SEP</t>
  </si>
  <si>
    <t>Duración promedio en materia Civil-Sentencia en principal SEP</t>
  </si>
  <si>
    <t>Duración promedio en materia Civil-Act. Prep o Ant Cump acum PRI</t>
  </si>
  <si>
    <t>Duración promedio en materia Civil-Demanda improponible SEP</t>
  </si>
  <si>
    <t>Duración promedio en materia Civil-Imposibilidad sobrevenida</t>
  </si>
  <si>
    <t>Duración promedio en materia Civil-Incompetencia nacional o arbitral SEP</t>
  </si>
  <si>
    <t>Duración promedio en materia Civil-Litispendencia SEP</t>
  </si>
  <si>
    <t>Duración promedio en materia Civil-Med. Cautelar.Final SEP Acum PRI</t>
  </si>
  <si>
    <t>Duración promedio en materia Civil-Transacción homologada SEP</t>
  </si>
  <si>
    <t>Duración promedio en materia Civil-Cosa juzgada S.E.P</t>
  </si>
  <si>
    <t>Duración promedio en materia Civil-terminado por inconsistencias</t>
  </si>
  <si>
    <t>Duración promedio en materia Civil-otros motivos</t>
  </si>
  <si>
    <t>Duración promedio en materia Cobro</t>
  </si>
  <si>
    <t>Duración promedio en materia Cobro-Incompetencia</t>
  </si>
  <si>
    <t>Duración promedio en materia Cobro-Incompetencia nacional o aarbitral SEP</t>
  </si>
  <si>
    <t>Duración promedio en materia Cobro-Ejecución cumplida</t>
  </si>
  <si>
    <t>Duración promedio en materia Cobro-Concialiación homologada SEP</t>
  </si>
  <si>
    <t>Duración promedio en materia Cobro-Activ. Prep o Ant. Cump. Acum. PRI</t>
  </si>
  <si>
    <t>Duración promedio en materia Cobro-Acumulación de procesos</t>
  </si>
  <si>
    <t>Duración promedio en materia Cobro-Cosa juzgada SEP</t>
  </si>
  <si>
    <t>Duración promedio en materia Cobro-Demanda improponible SEP</t>
  </si>
  <si>
    <t>Duración promedio en materia Cobro-Desistimiento total SEP</t>
  </si>
  <si>
    <t>Duración promedio en materia Cobro-Finalilza actividad no contenciosa</t>
  </si>
  <si>
    <t>Duración promedio en materia Cobro-Imposibilidad sobrevenida</t>
  </si>
  <si>
    <t>Duración promedio en materia Cobro-Litispendencia SEP</t>
  </si>
  <si>
    <t>Duración promedio en materia Cobro-Medida cautelar final SEP acum PRI</t>
  </si>
  <si>
    <t>Duración promedio en materia Cobro-Proc. Inadmisible sin condena</t>
  </si>
  <si>
    <t>Duración promedio en materia Cobro-Rechazo de plano del proceso SEP</t>
  </si>
  <si>
    <t>Duración promedio en materia Cobro-Satisfacción extraprocesal SEP</t>
  </si>
  <si>
    <t>Duración promedio en materia Cobro-Sentencia en principal SEP</t>
  </si>
  <si>
    <t>Duración promedio en materia Cobro-Transacción homologada SEP</t>
  </si>
  <si>
    <t>Duración promedio en materia Cobro-Indeb Acum Pret Acog sin Rec. SEP</t>
  </si>
  <si>
    <t>Duración promedio en materia Cobro-Herencia distribuida sin rendición de cuentas</t>
  </si>
  <si>
    <t>Duración promedio en materia Cobro-Acumulación</t>
  </si>
  <si>
    <t>Duración promedio en materia Cobro-Arreglo extrajudicial/ acuerdo de partes</t>
  </si>
  <si>
    <t>Duración promedio en materia Cobro-Demanda inadmisible</t>
  </si>
  <si>
    <t>Duración promedio en materia Cobro-Rechazado de plano</t>
  </si>
  <si>
    <t>Duración promedio en materia Cobro-Deserción</t>
  </si>
  <si>
    <t>Duración promedio en materia Cobro-Desistimiento</t>
  </si>
  <si>
    <t>Duración promedio en materia Cobro-Por sentencia</t>
  </si>
  <si>
    <t>Duración promedio en materia Cobro-Por concurrencia acreedores</t>
  </si>
  <si>
    <t>Duración promedio en materia Cobro-Resolución de fondo SEP (INC ó TRC)</t>
  </si>
  <si>
    <t>Duración promedio en materia Cobro-Caducidad en INC y TRC</t>
  </si>
  <si>
    <t>Duración promedio en materia Cobro-Comisión diligenciada</t>
  </si>
  <si>
    <t>Duración promedio en materia Cobro-Comisión no diligenciada</t>
  </si>
  <si>
    <t>Duración promedio en materia Cobro-otros motivos</t>
  </si>
  <si>
    <t>Duración promedio en materia Agraria-Total</t>
  </si>
  <si>
    <t>26 ,0</t>
  </si>
  <si>
    <t>Duración promedio en materia Agraria-Acuerdo de partes *</t>
  </si>
  <si>
    <t>Duración promedio en materia Agraria-Acumulación</t>
  </si>
  <si>
    <t>Duración promedio en materia Agraria-Agotada vía administrativa</t>
  </si>
  <si>
    <t>Duración promedio en materia Agraria-Archivo*</t>
  </si>
  <si>
    <t>Duración promedio en materia Agraria-Archivo según art 212 Ley de Agua*</t>
  </si>
  <si>
    <t>Duración promedio en materia Agraria-Arreglo / transación extrajudicial*</t>
  </si>
  <si>
    <t>Duración promedio en materia Agraria-Atosentencia*</t>
  </si>
  <si>
    <t>Duración promedio en materia Agraria-Caducidad</t>
  </si>
  <si>
    <t>Duración promedio en materia Agraria-Demanda Improponible</t>
  </si>
  <si>
    <t>Duración promedio en materia Agraria-Demanda Inadmisible</t>
  </si>
  <si>
    <t>Duración promedio en materia Agraria-Deserción</t>
  </si>
  <si>
    <t>Duración promedio en materia Agraria-Desistimiento</t>
  </si>
  <si>
    <t>Duración promedio en materia Agraria-Ejecución cumplida</t>
  </si>
  <si>
    <t>Duración promedio en materia Agraria-Excepción previa</t>
  </si>
  <si>
    <t>Duración promedio en materia Agraria-Imposibilidad sobrevenida</t>
  </si>
  <si>
    <t>Duración promedio en materia Agraria-Improcedencia vía judicial</t>
  </si>
  <si>
    <t>Duración promedio en materia Agraria-Incompetencia</t>
  </si>
  <si>
    <t>Duración promedio en materia Agraria-Inhibitoria</t>
  </si>
  <si>
    <t>Duración promedio en materia Agraria-Monitorio sin oposición</t>
  </si>
  <si>
    <t>Duración promedio en materia Agraria-No integración litis en tiempo</t>
  </si>
  <si>
    <t>Duración promedio en materia Agraria-Por oposición procesos no contenciosos</t>
  </si>
  <si>
    <t>Duración promedio en materia Agraria-Prescripción con lugar</t>
  </si>
  <si>
    <t>Duración promedio en materia Agraria-Prueba anticipada practicada</t>
  </si>
  <si>
    <t>Duración promedio en materia Agraria-Prueba anticipada sin presentación de la demanda</t>
  </si>
  <si>
    <t>Duración promedio en materia Agraria-Rechazo, falta interes de la parte*</t>
  </si>
  <si>
    <t>Duración promedio en materia Agraria-Remitido al Centro de Conciliación</t>
  </si>
  <si>
    <t>Duración promedio en materia Agraria-Renuncia del derecho</t>
  </si>
  <si>
    <t>Duración promedio en materia Agraria-Resuelto por el Centro de Conciliación</t>
  </si>
  <si>
    <t>Duración promedio en materia Agraria-Satisfacción extraprocesal</t>
  </si>
  <si>
    <t>Duración promedio en materia Agraria-Sentencia en ejecución</t>
  </si>
  <si>
    <t>Duración promedio en materia Agraria-Sentencia Homologatoria</t>
  </si>
  <si>
    <t>Duración promedio en materia Agraria-Sentencias</t>
  </si>
  <si>
    <t>33 ,0</t>
  </si>
  <si>
    <t>Duración promedio en materia Agraria-Separarse de la prosecución</t>
  </si>
  <si>
    <t>Duración promedio en materia Agraria-Sin acuerdo, Solución alterna art 459</t>
  </si>
  <si>
    <t>Duración promedio en materia Agraria-Otras</t>
  </si>
  <si>
    <t>Terminado por inconsistencias*</t>
  </si>
  <si>
    <t>Duración promedio en materia Familia-Total</t>
  </si>
  <si>
    <t>Duración promedio en materia Familia-Sentencia</t>
  </si>
  <si>
    <t>Duración promedio en materia Familia-Sentencia homologatoria</t>
  </si>
  <si>
    <t>Duración promedio en materia Familia-Deserción</t>
  </si>
  <si>
    <t>Duración promedio en materia Familia-Incompetencia</t>
  </si>
  <si>
    <t>Duración promedio en materia Familia-Demanda Inadmisible</t>
  </si>
  <si>
    <t>Duración promedio en materia Familia-Acumulación</t>
  </si>
  <si>
    <t>Duración promedio en materia Familia-Desistimiento</t>
  </si>
  <si>
    <t>Duración promedio en materia Familia-Remitido al Centro de Conciliación</t>
  </si>
  <si>
    <t>Duración promedio en materia Familia-Resuelto por el Centro de Conciliación</t>
  </si>
  <si>
    <t>Duración promedio en materia Familia-Autosentencia</t>
  </si>
  <si>
    <t>Duración promedio en materia Familia-Autosentencia por mutuo</t>
  </si>
  <si>
    <t>Duración promedio en materia Familia-Confirmada</t>
  </si>
  <si>
    <t>Duración promedio en materia Familia-Archivado</t>
  </si>
  <si>
    <t>Duración promedio en materia Familia-Rechazo de plano</t>
  </si>
  <si>
    <t>Duración promedio en materia Familia-Ejecución cumplida</t>
  </si>
  <si>
    <t>Duración promedio en materia Familia-Acuerdo homologado</t>
  </si>
  <si>
    <t>Duración promedio en materia Familia-Por solicitud de las partes</t>
  </si>
  <si>
    <t>Duración promedio en materia Familia-Por desinterés de las partes</t>
  </si>
  <si>
    <t>Duración promedio en materia Familia-Por excepción de cosa juzgada</t>
  </si>
  <si>
    <t>Duración promedio en materia Familia-Por excepción previa</t>
  </si>
  <si>
    <t>Duración promedio en materia Familia-Muerte de alguna de las partes</t>
  </si>
  <si>
    <t>Duración promedio en materia Familia-Matrimonio realizado o archivado</t>
  </si>
  <si>
    <t>Duración promedio en materia Familia-Vencimiento de med de protección</t>
  </si>
  <si>
    <t>Duración promedio en materia Familia-Arreglo extrajudicial</t>
  </si>
  <si>
    <t>Duración promedio en materia Familia-Arreglo extrajudicial sin homologación</t>
  </si>
  <si>
    <t>Duración promedio en materia Familia-Inhibitoria, recusación y excusa</t>
  </si>
  <si>
    <t>Duración promedio en materia Familia-Devuelto por trámite incompleto</t>
  </si>
  <si>
    <t>Duración promedio en materia Familia-Caducidad</t>
  </si>
  <si>
    <t>Duración promedio en materia Familia-Por oposición art 821 CPC</t>
  </si>
  <si>
    <t>Duración promedio en materia Familia-otros motivos</t>
  </si>
  <si>
    <t>Duración promedio en materia Contenciosa Administrativa-Total Jdo Cont Adm</t>
  </si>
  <si>
    <t>11 meses 2 semanas</t>
  </si>
  <si>
    <t>12 meses 3 semanas</t>
  </si>
  <si>
    <t>15 meses 3 semanas</t>
  </si>
  <si>
    <t>18 meses 2 semanas</t>
  </si>
  <si>
    <t>23 meses 0 semanas</t>
  </si>
  <si>
    <t>14 meses 1 semana</t>
  </si>
  <si>
    <t>Duración promedio en materia Contenciosa Administrativa-Sentencias jdo Cont Adm</t>
  </si>
  <si>
    <t>11 meses 3 semanas</t>
  </si>
  <si>
    <t>14 meses 0 semanas</t>
  </si>
  <si>
    <t>17 meses 1 semana</t>
  </si>
  <si>
    <t>17 meses 0 semana</t>
  </si>
  <si>
    <t>20 meses 0 semanas</t>
  </si>
  <si>
    <t>24 meses 0 semanas</t>
  </si>
  <si>
    <t>19 meses 0 semanas</t>
  </si>
  <si>
    <t>Duración promedio en materia Contenciosa Administrativa-Autosentencia</t>
  </si>
  <si>
    <t>Duración promedio en materia Contenciosa Administrativa-Acumulación</t>
  </si>
  <si>
    <t>Duración promedio en materia Contenciosa Administrativa-Incompetencia</t>
  </si>
  <si>
    <t>Duración promedio en materia Contenciosa Administrativa-Remitido al Tribunal</t>
  </si>
  <si>
    <t>Duración promedio en materia Contenciosa Administrativa-otros motivos</t>
  </si>
  <si>
    <t>Duración promedio en materia Contenciosa Administrativa-Total Trib. Cont Adm</t>
  </si>
  <si>
    <t>Duración promedio en materia Contenciosa Administrativa-Sentencias Trib. Cont Adm</t>
  </si>
  <si>
    <t>Duración promedio en materia Contenciosa Administrativa-Desistimiento</t>
  </si>
  <si>
    <t>Duración promedio en materia Contenciosa Administrativa-Demanda inadmisible</t>
  </si>
  <si>
    <t>Duración promedio en materia Contenciosa Administrativa-Satisfacción extraprocesal</t>
  </si>
  <si>
    <t>Duración promedio en materia Contenciosa Administrativa-Caducidad</t>
  </si>
  <si>
    <t>Duración promedio en materia Contenciosa Administrativa-Cumpl. Conduc. Omisiva</t>
  </si>
  <si>
    <t>Duración promedio en materia Contenciosa Administrativa-Homologación</t>
  </si>
  <si>
    <t>Duración promedio en materia Contenciosa Administrativa-Acuerdo de partes</t>
  </si>
  <si>
    <t>Duración promedio en materia Trabajo-Total</t>
  </si>
  <si>
    <t>Duración promedio en materia Trabajo- Acuerdo homologado / conciliación</t>
  </si>
  <si>
    <t>Duración promedio en materia Trabajo- Acumulación</t>
  </si>
  <si>
    <t>Duración promedio en materia Trabajo- Archivo conflicto colectivo</t>
  </si>
  <si>
    <t>Duración promedio en materia Trabajo- Archivo conflicto competencia</t>
  </si>
  <si>
    <t>Duración promedio en materia Trabajo- Archivo provisional</t>
  </si>
  <si>
    <t>Duración promedio en materia Trabajo- Arreglo extrajudicial / acuerdo de partes</t>
  </si>
  <si>
    <t>Duración promedio en materia Trabajo- Autosentencias de prestaciones por muerte</t>
  </si>
  <si>
    <t>Duración promedio en materia Trabajo- Caducidad</t>
  </si>
  <si>
    <t>Duración promedio en materia Trabajo- Deserción</t>
  </si>
  <si>
    <t>Duración promedio en materia Trabajo- Desistimiento</t>
  </si>
  <si>
    <t>Duración promedio en materia Trabajo- Excepción previa</t>
  </si>
  <si>
    <t>Duración promedio en materia Trabajo- Improcedencia vía judicial</t>
  </si>
  <si>
    <t>Duración promedio en materia Trabajo- Inadmisible</t>
  </si>
  <si>
    <t>Duración promedio en materia Trabajo- Incompetencia</t>
  </si>
  <si>
    <t>Duración promedio en materia Trabajo- Por giro al consignatario</t>
  </si>
  <si>
    <t>Duración promedio en materia Trabajo- Por giro de renta</t>
  </si>
  <si>
    <t>Duración promedio en materia Trabajo- Por incump del art 265 CT</t>
  </si>
  <si>
    <t>Duración promedio en materia Trabajo- Prescripción</t>
  </si>
  <si>
    <t>Duración promedio en materia Trabajo- Rechazo de plano</t>
  </si>
  <si>
    <t>Duración promedio en materia Trabajo- Sentencia dictada</t>
  </si>
  <si>
    <t>Duración promedio en materia Trabajo- Sobreseimiento</t>
  </si>
  <si>
    <t>Duración promedio en materia Trabajo- Ejecicución cumplida</t>
  </si>
  <si>
    <t>Duración promedio en materia Trabajo- Fallecimiento de la parte actora</t>
  </si>
  <si>
    <t>Duración promedio en materia Trabajo- Por giro de prestaciones</t>
  </si>
  <si>
    <t>Duración promedio en materia Trabajo- Resuelto por Centro de Conciliación</t>
  </si>
  <si>
    <t>Duración promedio en materia Trabajo- Sin acuerdo solución alterna previa art 459</t>
  </si>
  <si>
    <t>Duración promedio en materia Trabajo- Traslado de expedientes RPL</t>
  </si>
  <si>
    <t>Duración promedio en materia Trabajo- Otras razones</t>
  </si>
  <si>
    <t>Duración promedio en materia Trabajo-mayor cuantía-ord fallados con sent</t>
  </si>
  <si>
    <t>25 meses 3 semanas</t>
  </si>
  <si>
    <t>26 meses 0 semana</t>
  </si>
  <si>
    <t>-</t>
  </si>
  <si>
    <t>Duración promedio en materia Trabajo-menor cuantía-ord fallados con sent</t>
  </si>
  <si>
    <t>12 meses 1 semana</t>
  </si>
  <si>
    <t>16 meses 1 semana</t>
  </si>
  <si>
    <t>Duración promedio en materia Contravenciones-Total</t>
  </si>
  <si>
    <t>Duración promedio en materia Contravenciones-Sentencias</t>
  </si>
  <si>
    <t>Duración promedio en materia Contravenciones-Acumulación</t>
  </si>
  <si>
    <t>Duración promedio en materia Contravenciones-Conciliación</t>
  </si>
  <si>
    <t>Duración promedio en materia Contravenciones-Desestimación</t>
  </si>
  <si>
    <t>Duración promedio en materia Contravenciones-Desistimiento</t>
  </si>
  <si>
    <t>Duración promedio en materia Contravenciones-Incompetencia</t>
  </si>
  <si>
    <t>Duración promedio en materia Contravenciones-Resuelto por el Centro de Conciliación</t>
  </si>
  <si>
    <t>Duración promedio en materia Contravenciones-Sobreseimiento definitivo</t>
  </si>
  <si>
    <t>Duración promedio en materia Contravenciones-Por solicitud de ofendido</t>
  </si>
  <si>
    <t>Duración promedio en materia Contravenciones-Archivo</t>
  </si>
  <si>
    <t>Duración promedio en materia Contravenciones-otros motivos</t>
  </si>
  <si>
    <t>Duración promedio en materia Tránsito-Total</t>
  </si>
  <si>
    <t>4, 2</t>
  </si>
  <si>
    <t>Duración promedio en materia Tránsito-Sentencias</t>
  </si>
  <si>
    <t>Duración promedio en materia Tránsito-Acumulado</t>
  </si>
  <si>
    <t>Duración promedio en materia Tránsito-Archivo art 187 LT</t>
  </si>
  <si>
    <t>Duración promedio en materia Tránsito-Devolución (Vehiculo, placas, licencia)</t>
  </si>
  <si>
    <t>Duración promedio en materia Tránsito-Incompetencia</t>
  </si>
  <si>
    <t>Duración promedio en materia Tránsito-Inhibitoria</t>
  </si>
  <si>
    <t>Duración promedio en materia Tránsito-Remitido al Centro de Conciliación</t>
  </si>
  <si>
    <t>Duración promedio en materia Tránsito-Resuelto por el Centro de Conciliación</t>
  </si>
  <si>
    <t>Duración promedio en materia Tránsito-Sobreseimiento conc cumplida</t>
  </si>
  <si>
    <t>Duración promedio en materia Tránsito-Sobreseimiento prescripción</t>
  </si>
  <si>
    <t>23 .1</t>
  </si>
  <si>
    <t>Duración promedio en materia Tránsito-Sobreseimiento otros</t>
  </si>
  <si>
    <t>Duración promedio en materia Tránsito-otros motivos</t>
  </si>
  <si>
    <t>Duración promedio en materia Pensiones Alimentarias-Total</t>
  </si>
  <si>
    <t>Duración promedio en materia Pensiones Alimentarias-Acumulado</t>
  </si>
  <si>
    <t>Duración promedio en materia Pensiones Alimentarias-Archivo por acuerdo de partes</t>
  </si>
  <si>
    <t>Duración promedio en materia Pensiones Alimentarias-Archivo a solicitud de la parte actora</t>
  </si>
  <si>
    <t>Duración promedio en materia Pensiones Alimentarias-Archivo transcurrido tres meses</t>
  </si>
  <si>
    <t>Duración promedio en materia Pensiones Alimentarias-Archivo fallecimiento del acreedor o deudor</t>
  </si>
  <si>
    <t>Duración promedio en materia Pensiones Alimentarias-Archivo de consignación voluntaria</t>
  </si>
  <si>
    <t>Duración promedio en materia Pensiones Alimentarias-Archivo</t>
  </si>
  <si>
    <t>Duración promedio en materia Pensiones Alimentarias-Desistimiento</t>
  </si>
  <si>
    <t>Duración promedio en materia Pensiones Alimentarias-Devuelto a solicitud del despacho de origen</t>
  </si>
  <si>
    <t>Duración promedio en materia Pensiones Alimentarias-Ejecución cumplida</t>
  </si>
  <si>
    <t>Duración promedio en materia Pensiones Alimentarias-Homologación de acuerdo/ conciliación</t>
  </si>
  <si>
    <t>Duración promedio en materia Pensiones Alimentarias-Incompetencia</t>
  </si>
  <si>
    <t>Duración promedio en materia Pensiones Alimentarias-Medida de protección comunicada</t>
  </si>
  <si>
    <t>Duración promedio en materia Pensiones Alimentarias-No cumplió con prevención</t>
  </si>
  <si>
    <t>Duración promedio en materia Pensiones Alimentarias-Caducidad</t>
  </si>
  <si>
    <t>Duración promedio en materia Pensiones Alimentarias-Rechazo de plano</t>
  </si>
  <si>
    <t>Duración promedio en materia Pensiones Alimentarias-Resuelto por el Centro de Conciliación</t>
  </si>
  <si>
    <t>Duración promedio en materia Pensiones Alimentarias-Sentencia dictada sin lugar</t>
  </si>
  <si>
    <t xml:space="preserve">Duración promedio en materia Pensiones Alimentarias-Sentencia dictada   </t>
  </si>
  <si>
    <t>Duración promedio en materia Pensiones Alimentarias-Test de piezas remitidos a otras oficinas</t>
  </si>
  <si>
    <t>Duración promedio en materia Pensiones Alimentarias-otros motivos</t>
  </si>
  <si>
    <t>Duración promedio en materia Violencia Doméstica-Total</t>
  </si>
  <si>
    <t>Duración promedio en materia Violencia Doméstica- Incompetencia</t>
  </si>
  <si>
    <t>Duración promedio en materia Violencia Doméstica- Orden de archivo (rechaza ad portas)</t>
  </si>
  <si>
    <t>Duración promedio en materia Violencia Doméstica- Lev de Med Prov por vencim de un año plazo</t>
  </si>
  <si>
    <t>Duración promedio en materia Violencia Doméstica- Lev de Med Prov no comparecencia de la víctima</t>
  </si>
  <si>
    <t>Duración promedio en materia Violencia Doméstica- Lev de Med Prov tiempo sin notificar</t>
  </si>
  <si>
    <t>Duración promedio en materia Violencia Doméstica- Lev de Med Prov no contribuye violencia intrafamiliar</t>
  </si>
  <si>
    <t>Duración promedio en materia Violencia Doméstica- Lev de Med Prov anticipado de la medida</t>
  </si>
  <si>
    <t>Duración promedio en materia Violencia Doméstica- Acumulado</t>
  </si>
  <si>
    <t>Duración promedio en materia Violencia Doméstica- Test de piezas remitidos</t>
  </si>
  <si>
    <t>Duración promedio en materia Violencia Doméstica- Muerte de alguna de las partes</t>
  </si>
  <si>
    <t>Duración promedio en materia Violencia Doméstica- Archivo</t>
  </si>
  <si>
    <t>Duración promedio en materia Violencia Doméstica-otros motivos</t>
  </si>
  <si>
    <t>Duración promedio en materia Notarial-Total</t>
  </si>
  <si>
    <t>Duración promedio en materia Notarial-Acumulación</t>
  </si>
  <si>
    <t>Duración promedio en materia Notarial-Excepción o Incidentes</t>
  </si>
  <si>
    <t>Duración promedio en materia Notarial-Incompetencia</t>
  </si>
  <si>
    <t>Duración promedio en materia Notarial-Incumplimiento de actor/a</t>
  </si>
  <si>
    <t>Duración promedio en materia Notarial-Notario/a fallecido/a</t>
  </si>
  <si>
    <t>Duración promedio en materia Notarial-Prescripción</t>
  </si>
  <si>
    <t>Duración promedio en materia Notarial-Reclazo de plano</t>
  </si>
  <si>
    <t>Duración promedio en materia Notarial-Solicitud de parte actora</t>
  </si>
  <si>
    <t>Duración promedio en materia Notarial-Cumplimiento de la sanción</t>
  </si>
  <si>
    <t>Duración promedio en materia Notarial-Por conciliación cumplida</t>
  </si>
  <si>
    <t>Duración promedio en materia Notarial-Remitido al Centro de Conciliación</t>
  </si>
  <si>
    <t>Duración promedio en materia Notarial-Resuelto por Centro de Conciliación</t>
  </si>
  <si>
    <t>Duración promedio en materia Notarial-otros motivos</t>
  </si>
  <si>
    <t>Duración promedio en materia Notarial-Sentencias</t>
  </si>
  <si>
    <t>Duración promedio en materia Penal</t>
  </si>
  <si>
    <t>Duración promedio en materia Penal (Tribunales penales)-Total</t>
  </si>
  <si>
    <t>10 meses 2 semanas</t>
  </si>
  <si>
    <t>10 meses 3 semanas</t>
  </si>
  <si>
    <t>17 meses 0 semanas</t>
  </si>
  <si>
    <t>Duración promedio en materia Penal (Tribunales penales)-sentencias todas las etapas</t>
  </si>
  <si>
    <t>30 meses 2 semanas</t>
  </si>
  <si>
    <t>22 meses 0 semanas</t>
  </si>
  <si>
    <t>21 meses 0 semanas</t>
  </si>
  <si>
    <t>22 meses 1 semana</t>
  </si>
  <si>
    <t>24 meses 1 semana</t>
  </si>
  <si>
    <t>25 meses 2 semanas</t>
  </si>
  <si>
    <t>Duración promedio en materia Penal (Tribunales penales)-sentencias etapa de juicio</t>
  </si>
  <si>
    <t>9 meses 0 semanas</t>
  </si>
  <si>
    <t>8 meses 1 semana</t>
  </si>
  <si>
    <t>9 meses 3 semanas</t>
  </si>
  <si>
    <t>13 meses 0 semanas</t>
  </si>
  <si>
    <t>Duración promedio en materia Penal (Tribunales ordinarios)-Sentencias</t>
  </si>
  <si>
    <t>Duración promedio en materia Penal (Tribunales flagrancia)-Sentencias</t>
  </si>
  <si>
    <t>Duración promedio en materia Penal (Tribunales penales) colegiados</t>
  </si>
  <si>
    <t>Duración promedio en materia Penal (Tribunales penales) unipersonales</t>
  </si>
  <si>
    <t>27 meses 1 semana</t>
  </si>
  <si>
    <t>28 meses 1 semana</t>
  </si>
  <si>
    <t>Duración promedio en materia Penal (Tribunales penales) abreviados</t>
  </si>
  <si>
    <t>13 meses 2 semanas</t>
  </si>
  <si>
    <t>16 meses 0 semanas</t>
  </si>
  <si>
    <t>16 meses 3 semanas</t>
  </si>
  <si>
    <t>Duración promedio en materia Penal (Tribunales penales) Sobreseimientos</t>
  </si>
  <si>
    <t>Duración promedio en materia Penal (Tribunales penales) Anulados</t>
  </si>
  <si>
    <t>Duración promedio en materia Penal (Tribunales penales) Desestimación</t>
  </si>
  <si>
    <t>Duración promedio en materia Penal (Tribunales penales) Incompetencias</t>
  </si>
  <si>
    <t>Duración promedio en materia Penal (Tribunales penales) Acumulación</t>
  </si>
  <si>
    <t>Duración promedio en materia Penal (Tribunales penales) Proceso especial abreviado</t>
  </si>
  <si>
    <t>Duración promedio en materia Penal (Tribunales penales) Querella rechazada</t>
  </si>
  <si>
    <t>Duración promedio en materia Penal (Tribunales penales) Remitido Justicia Restaurativa</t>
  </si>
  <si>
    <t>Duración promedio en materia Penal (Tribunales penales) Remitido Centro Conciliación</t>
  </si>
  <si>
    <t>Duración promedio en materia Penal (Tribunales penales) Resuelto Centro Conciliación</t>
  </si>
  <si>
    <t>Duración promedio en materia Penal (Tribunales penales) Con Lugar extradición</t>
  </si>
  <si>
    <t>Duración promedio en materia Penal (Tribunales penales) Sin Lugar extradición</t>
  </si>
  <si>
    <t>Duración promedio en materia Penal (Tribunales penales) Devuelto por ttámite incompleto</t>
  </si>
  <si>
    <t>Duración promedio en materia Penal (Tribunales penales) Funadamentación de pena resuelta</t>
  </si>
  <si>
    <t>Duración promedio en materia Penal (Tribunales penales) Acción Civil Resarcitoria Resuelta</t>
  </si>
  <si>
    <t>Duración promedio en materia Penal (Tribunales penales) Por falta de acción</t>
  </si>
  <si>
    <t>Duración promedio en materia Penal (Tribunales penales) Costas del proceso resuelto</t>
  </si>
  <si>
    <t>Duración promedio en materia Penal (Tribunales penales) Conversión acción pública privada</t>
  </si>
  <si>
    <t>Duración promedio en materia Penal (Tribunales penales) otros motivos</t>
  </si>
  <si>
    <t>Duración promedio en materia Penal (Juzgados Penales)</t>
  </si>
  <si>
    <t>4.1</t>
  </si>
  <si>
    <t>Duración promedio en materia Penal (Juzgados Penales)-sentencias</t>
  </si>
  <si>
    <t>Duración promedio en materia Penal (Juzgados Penales)-sentencias etapa preparatoria e intermedia</t>
  </si>
  <si>
    <t>17 meses 3 semanas</t>
  </si>
  <si>
    <t>Duración promedio en materia Penal (Juzgados Penales)-sentencias etapa intermedia</t>
  </si>
  <si>
    <t>3 meses 3 semanas</t>
  </si>
  <si>
    <t>4 meses 2 semanas</t>
  </si>
  <si>
    <t>4 meses 3 semanas</t>
  </si>
  <si>
    <t>Duración promedio en materia Penal (Juzgados Penales)-Acumulación</t>
  </si>
  <si>
    <t>Duración promedio en materia Penal (Juzgados Penales)-Autos de apertura a juicio (sin acción civil resarcitoria)</t>
  </si>
  <si>
    <t>Duración promedio en materia Penal (Juzgados Penales)-Autos de apertura a juicio (con acción civil delegada)</t>
  </si>
  <si>
    <t>Duración promedio en materia Penal (Juzgados Penales)-Autos de apertura a juicio (con acción civil privada)</t>
  </si>
  <si>
    <t>Duración promedio en materia Penal (Juzgados Penales)-Conversión de la acción</t>
  </si>
  <si>
    <t>Duración promedio en materia Penal (Juzgados Penales)-Desestimación</t>
  </si>
  <si>
    <t>Duración promedio en materia Penal (Juzgados Penales)-Desestimación oral</t>
  </si>
  <si>
    <t>Duración promedio en materia Penal (Juzgados Penales)-Devuelto al MP deniega gestión</t>
  </si>
  <si>
    <t>Duración promedio en materia Penal (Juzgados Penales)-Devuelto al MP sanear act. Proc. Defect.</t>
  </si>
  <si>
    <t>Duración promedio en materia Penal (Juzgados Penales)-Devuelto al MP aprueba gestión</t>
  </si>
  <si>
    <t>Duración promedio en materia Penal (Juzgados Penales)-Inhibitoria</t>
  </si>
  <si>
    <t>Duración promedio en materia Penal (Juzgados Penales)-Proc. Abrev. Sin acción civil resarcitoria</t>
  </si>
  <si>
    <t>Duración promedio en materia Penal (Juzgados Penales)-Proc. Abrev. Con acción civil delegada</t>
  </si>
  <si>
    <t>Duración promedio en materia Penal (Juzgados Penales)-Proc. Abrev. Con acción civil privada</t>
  </si>
  <si>
    <t>Duración promedio en materia Penal (Juzgados Penales)-Remitido a otra jurisdicción</t>
  </si>
  <si>
    <t>Duración promedio en materia Penal (Juzgados Penales)-Remitido a otra jurisdicción para nueva investigación</t>
  </si>
  <si>
    <t>Duración promedio en materia Penal (Juzgados Penales)-Rebeldía solicitada por la fiscalía</t>
  </si>
  <si>
    <t>Duración promedio en materia Penal (Juzgados Penales)-Remitido a Justicia Restaurativa</t>
  </si>
  <si>
    <t>Duración promedio en materia Penal (Juzgados Penales)-Remitido al Centro de Conciliación</t>
  </si>
  <si>
    <t>Duración promedio en materia Penal (Juzgados Penales)-Resuelto por el Centro de Conciliación</t>
  </si>
  <si>
    <t>Duración promedio en materia Penal (Juzgados Penales)-Sobreseimientos Definitivos</t>
  </si>
  <si>
    <t>Duración promedio en materia Penal (Juzgados Penales)-Sobreseimientos provisionales</t>
  </si>
  <si>
    <t>Duración promedio en materia Penal (Juzgados Penales)-otros</t>
  </si>
  <si>
    <t>Duración promedio en materia Penal (Ministerio Público)-etapa preparatoria</t>
  </si>
  <si>
    <t>8 meses 3 semanas</t>
  </si>
  <si>
    <t>7 meses 2 semanas</t>
  </si>
  <si>
    <t>7 meses 3 semanas</t>
  </si>
  <si>
    <t>Duración promedio en materia Penal Juvenil</t>
  </si>
  <si>
    <t>Duración promedio en materia Penal Juvenil (Jdos PJ)-Total</t>
  </si>
  <si>
    <t>Duración promedio en materia Penal Juvenil (Jdos PJ)-Acumulación</t>
  </si>
  <si>
    <t>Duración promedio en materia Penal Juvenil (Jdos PJ)-Desestimación</t>
  </si>
  <si>
    <t>Duración promedio en materia Penal Juvenil (Jdos PJ)-Devuelto al M.P. sanear act. Proc. Defect.</t>
  </si>
  <si>
    <t>Duración promedio en materia Penal Juvenil (Jdos PJ)-Devuelto M.P. deniega gestión</t>
  </si>
  <si>
    <t>Duración promedio en materia Penal Juvenil (Jdos PJ)-Justicia Juvenil Restaurativa conciliación</t>
  </si>
  <si>
    <t>Duración promedio en materia Penal Juvenil (Jdos PJ)-Justicia Juvenil Restaurativa Susp Proceso a prueba</t>
  </si>
  <si>
    <t>Duración promedio en materia Penal Juvenil (Jdos PJ)-Justicia Juvenil Restaurativa Susp Proceso a prueba con reparación integral del daño</t>
  </si>
  <si>
    <t>Duración promedio en materia Penal Juvenil (Jdos PJ)-Justicia Juvenil Restaurativa Conc.Cond con reparación integral del daño</t>
  </si>
  <si>
    <t>Duración promedio en materia Penal Juvenil (Jdos PJ)-Justicia Juvenil Restaurativa Raparación Integral del daño</t>
  </si>
  <si>
    <t>Duración promedio en materia Penal Juvenil (Jdos PJ)-Incompetencia</t>
  </si>
  <si>
    <t>Duración promedio en materia Penal Juvenil (Jdos PJ)-Remitido al Centro de Conciliación</t>
  </si>
  <si>
    <t>Duración promedio en materia Penal Juvenil (Jdos PJ)-Sanción cumplida</t>
  </si>
  <si>
    <t>Duración promedio en materia Penal Juvenil (Jdos PJ)-Sobreseimiento definitivo</t>
  </si>
  <si>
    <t>Duración promedio en materia Penal Juvenil (Jdos PJ)-otros</t>
  </si>
  <si>
    <t>Duración promedio de las sentencias dictadas a los menores en los Jdos Penales Juveniles (Jdos PJ)(meses)</t>
  </si>
  <si>
    <t>Duración promedio en materia Penal Juvenil (Fiscalías PJ)</t>
  </si>
  <si>
    <t>Duración promedio en materia Penal Juvenil (Fiscalías PJ) -Solicitud desestimación</t>
  </si>
  <si>
    <t>Duración promedio en materia Penal Juvenil (Fiscalías PJ) -Acusación Fiscal</t>
  </si>
  <si>
    <t>Duración promedio en materia Penal Juvenil (Fiscalías PJ) -Remisión a otra jurisdicción</t>
  </si>
  <si>
    <t>Duración promedio en materia Penal Juvenil (Fiscalías PJ) -Acumulación</t>
  </si>
  <si>
    <t>Duración promedio en materia Penal Juvenil (Fiscalías PJ) -Solicitud sobreseimiento definitivo</t>
  </si>
  <si>
    <t>Duración promedio en materia Penal Juvenil (Fiscalías PJ) -Archivo fiscal</t>
  </si>
  <si>
    <t>Duración promedio en materia Penal Juvenil (Fiscalías PJ) -Solicitud sobreseimiento provisional</t>
  </si>
  <si>
    <t>Duración promedio en materia Penal Juvenil (Fiscalías PJ) -Criterio Oportunidad (Art 22 Inc A)</t>
  </si>
  <si>
    <t>Duración promedio en materia Penal Juvenil (Fiscalías PJ) -Devuelto al OIJ para continuar investigación</t>
  </si>
  <si>
    <t>Duración promedio en materia Penal Juvenil (Fiscalías PJ) -otros motivos</t>
  </si>
  <si>
    <t>Duración promedio en única instancia-Materia Constitucional</t>
  </si>
  <si>
    <t>Duración promedio en materia Constitucional- total votos de fondo</t>
  </si>
  <si>
    <t>Duración promedio en materia Constitucional- Habeas Corpus (días)</t>
  </si>
  <si>
    <t>16 días</t>
  </si>
  <si>
    <t>15 días</t>
  </si>
  <si>
    <t>13 días</t>
  </si>
  <si>
    <t>19 días</t>
  </si>
  <si>
    <t>Duración promedio en materia Constitucional- Recursos de Amparo</t>
  </si>
  <si>
    <t>1 m 3 sem</t>
  </si>
  <si>
    <t>Duración promedio en materia Constitucional- Acción de inconstitucionalidad</t>
  </si>
  <si>
    <t>16 meeses 3 semnas</t>
  </si>
  <si>
    <t>Duración promedio en Segunda Instancia</t>
  </si>
  <si>
    <t>Duración promedio en Sala Primera-votos de fondo</t>
  </si>
  <si>
    <t>Duración promedio en Trib. de Casación de lo Cont Adm-votos de fondo</t>
  </si>
  <si>
    <t>Duración promedio en Sala Segunda</t>
  </si>
  <si>
    <t>Duración promedio en Sala Tercera-Votos de fondo (casación y revisión)</t>
  </si>
  <si>
    <t>Duración promedio en Sala Tercera-Recursos de casación</t>
  </si>
  <si>
    <t>Duración promedio en Sala Tercera-Recursos de revisión</t>
  </si>
  <si>
    <t>Duración promedio en Sala Tercera (Sección PJ)</t>
  </si>
  <si>
    <t>Duración promedio en Sala Tercera (Sección PJ) votos de fondo</t>
  </si>
  <si>
    <t>Duración promedio en Trib Casación Penal</t>
  </si>
  <si>
    <t>Duración promedio en Trib. de Apelación Penal</t>
  </si>
  <si>
    <t>Duración promedio en Trib. Casación PJ</t>
  </si>
  <si>
    <t>Duración promedio en Trib de Apelación PJ (votos de fondo)</t>
  </si>
  <si>
    <t>Duración promedio en Trib. Civiles</t>
  </si>
  <si>
    <t>Duración promedio en Trib. Civiles-Confirma</t>
  </si>
  <si>
    <t>Duración promedio en Trib. Civiles-Revoca</t>
  </si>
  <si>
    <t>Duración promedio en Trib. Civiles-Modifica</t>
  </si>
  <si>
    <t>Duración promedio en Trib. Civiles-Anula</t>
  </si>
  <si>
    <t>Duración promedio en Trib. Civiles-Resuelve conflicto</t>
  </si>
  <si>
    <t>Duración promedio en Trib. Civiles-Confirma denegatoria</t>
  </si>
  <si>
    <t>Duración promedio en Trib. Civiles-Rechaza de plano</t>
  </si>
  <si>
    <t>Duración promedio en Trib. Civiles-Mal admitido</t>
  </si>
  <si>
    <t>Duración promedio en Trib. Civiles-Recursos desistidos</t>
  </si>
  <si>
    <t>Duración promedio en Trib. Civiles-Revoca denegatoria</t>
  </si>
  <si>
    <t>Duración promedio en Trib. Laborales</t>
  </si>
  <si>
    <t>Duración promedio en Trib. Laborales-Confirma</t>
  </si>
  <si>
    <t>Duración promedio en Trib. Laborales-Revoca</t>
  </si>
  <si>
    <t>Duración promedio en Trib. Laborales-Modifica</t>
  </si>
  <si>
    <t>Duración promedio en Trib. Laborales-Anula</t>
  </si>
  <si>
    <t>Duración promedio en Trib. Cont Adm</t>
  </si>
  <si>
    <t>Duración promedio en Trib. de Apelaciones Cont. Adm.(1120)</t>
  </si>
  <si>
    <t>Duración promedio en Trib. de Apelaciones Cont. Adm.(1120)-Votos de fondo</t>
  </si>
  <si>
    <t>pend</t>
  </si>
  <si>
    <t>Duración promedio en Trib. Agrario-votos de fondo</t>
  </si>
  <si>
    <t>Duración promedio en Trib. Agrario otras resoluciones</t>
  </si>
  <si>
    <t>Duración promedio en Trib. Familia Total</t>
  </si>
  <si>
    <t>Duración promedio en Trib. Familia Votos de fondo</t>
  </si>
  <si>
    <t>Duración promedio en Trib. Familia otras resoluciones</t>
  </si>
  <si>
    <t>Duración promedio en Trib. PJ</t>
  </si>
  <si>
    <t>Duración promedio en Tribunal de Notariado-Total</t>
  </si>
  <si>
    <t>Duración promedio en Tribunal de Notariado-Anuladas</t>
  </si>
  <si>
    <t>Duración promedio en Tribunal de Notariado-Con lugar</t>
  </si>
  <si>
    <t>Duración promedio en Tribunal de Notariado-Confirmadas</t>
  </si>
  <si>
    <t>Duración promedio en Tribunal de Notariado-Conflicto de competencia</t>
  </si>
  <si>
    <t>Duración promedio en Tribunal de Notariado-Desistido</t>
  </si>
  <si>
    <t>Duración promedio en Tribunal de Notariado-Devuelto trámite incompleto</t>
  </si>
  <si>
    <t>Duración promedio en Tribunal de Notariado-Mal Admitidas</t>
  </si>
  <si>
    <t>Duración promedio en Tribunal de Notariado-Modificadas</t>
  </si>
  <si>
    <t>Duración promedio en Tribunal de Notariado-Rechazadas</t>
  </si>
  <si>
    <t>Duración promedio en Tribunal de Notariado-Revocadas</t>
  </si>
  <si>
    <t>Duración promedio en Tribunal de Notariado-Sin Lugar</t>
  </si>
  <si>
    <t>Duración promedio en Tribunal de Notariado-por muerte de la personas notaria pública</t>
  </si>
  <si>
    <t>Duración promedio en Tribunal de Notariado-otros motivos</t>
  </si>
  <si>
    <t>Duración promedio en Dir Nacional de Notariado</t>
  </si>
  <si>
    <t>Duración promedio en OIJ</t>
  </si>
  <si>
    <t>Duración promedio en Ciencias Forenses</t>
  </si>
  <si>
    <t>Duración promedio en Defensa Pública</t>
  </si>
  <si>
    <t>Duración promedio en Defensa Pública-Laboral</t>
  </si>
  <si>
    <t>Duración promedio en Atención y Protección a víctimas y testigos</t>
  </si>
  <si>
    <t>Duración promedio Tribunal Contencioso Administrativo (meses)</t>
  </si>
  <si>
    <t>Campo temático PJ</t>
  </si>
  <si>
    <t>INDICADORES</t>
  </si>
  <si>
    <t>Costo de la Justicia</t>
  </si>
  <si>
    <t>% Gasto en justicia respecto del  Gasto público del Gobierno Central</t>
  </si>
  <si>
    <t>% Gasto en justicia del programa 926 Dirección, Administ. y Otros Org. de Apoyo Jurisd. respecto del  Gasto público del Gobierno Central</t>
  </si>
  <si>
    <t>% Gasto en justicia del programa 927 Servicio Jurisdiccional  respecto del  Gasto público del Gobierno Central</t>
  </si>
  <si>
    <t>% Gasto en justicia del programa 928 Servicio Organismo de Investigación Judicial  respecto del  Gasto público del Gobierno Central</t>
  </si>
  <si>
    <t>% Gasto en justicia del programa 929 Ministerio Público respecto del  Gasto público del Gobierno Central</t>
  </si>
  <si>
    <t>% Gasto en justicia del programa 930 Defensa Pública respecto del  Gasto público del  Gobierno Central</t>
  </si>
  <si>
    <t>% Gasto en justicia del programa 950 Servicio de Atención y Protección a Víctimas y Testigos respecto del  Gasto público del Gobierno Central</t>
  </si>
  <si>
    <t>% Gasto en justicia de otros programas (931,932,942,801) respecto del  Gasto público del Gobierno Central</t>
  </si>
  <si>
    <t>Gasto en justicia en colones por habitante</t>
  </si>
  <si>
    <t>Gasto en justicia en dólares por habitante</t>
  </si>
  <si>
    <t>% Del costo del programa 926 Dirección, Administ. Y otros Org. de Apoyo Jurisd respecto del costo de la justicia</t>
  </si>
  <si>
    <t>% Del costo del programa 927 Servicio Jurisdiccional respecto del costo de la justicia</t>
  </si>
  <si>
    <t>% Del costo del programa 928 Organismo de investigación Judicial respecto del costo de la justicia</t>
  </si>
  <si>
    <t>% Del costo del programa 929 Ministerio Público respecto del costo de la justicia</t>
  </si>
  <si>
    <t>% Del costo del programa 930 Defensa Pública respecto del costo de la justicia</t>
  </si>
  <si>
    <t>% Del costo del programa 950 Servicio de Atención y Protección a Víctimas y Testigos respecto del costo de la justicia</t>
  </si>
  <si>
    <t>% Del costo de otros programas (931,932,942,801) respecto del costo de la justicia</t>
  </si>
  <si>
    <t>% Gasto total en justicia respecto de los Ingresos Corrientes del Gobierno Central</t>
  </si>
  <si>
    <t>% Presupuesto aprobado para el Poder Judicial con respecto a los Ingresos Corrientes del Gobierno Central</t>
  </si>
  <si>
    <t>% de variación del presupuesto actual con respecto al presupuesto aprobado por la Asamblea Legislativa</t>
  </si>
  <si>
    <t>Costo promedio diario de justicia por habitante</t>
  </si>
  <si>
    <t>Costo promedio diario de justicia por habitante programa 926 Dirección, Administ. y Otros Org. de Apoyo Jurisd</t>
  </si>
  <si>
    <t>Costo promedio diario de justicia por habitante programa 927 Servicio Jurisdiccional</t>
  </si>
  <si>
    <t>Costo promedio diario de justicia por habitante programa 928 Servicio Organismo de Investigación Judicial</t>
  </si>
  <si>
    <t>Costo promedio diario de justicia por habitante programa 929 Ministerio Público</t>
  </si>
  <si>
    <t>Costo promedio diario de justicia por habitante programa 930 Defensa Pública</t>
  </si>
  <si>
    <t>Costo promedio diario de justicia por habitante programa 950 Servicio de Atención y Protección a Víctimas y Testigos</t>
  </si>
  <si>
    <t>Costo promedio diario de justicia por habitante de los programas 931 Servicio Notariado, 932 Servicio Justicia de Tránsito, 942 Aporte Local Préstamo 1377/OC-CR, 801 Superávit</t>
  </si>
  <si>
    <t>% de participación del presupuesto aprobado del Poder Judicial con respecto al presupuesto formulado del Gobierno Central</t>
  </si>
  <si>
    <t>% de participación del presupuesto gastado del Poder Judicial con respecto al presupuesto formulado del Gobierno Central</t>
  </si>
  <si>
    <t>Costo promedio en colones de causas atendidas en el Poder Judicial durante el año</t>
  </si>
  <si>
    <t>Costo promedio en colones de causas entradas en el Poder Judicial durante el año</t>
  </si>
  <si>
    <t xml:space="preserve">Costo promedio en colones de causas terminadas en el Poder Judicial durante el año </t>
  </si>
  <si>
    <t xml:space="preserve">Costo promedio  en dólares de causas terminadas en el Poder Judicial durante el año </t>
  </si>
  <si>
    <t>Costo promedio por expediente terrminado en el Poder Judicial durante el año en colones</t>
  </si>
  <si>
    <t>Costo promedio por expediente terminado durante el año en dólares</t>
  </si>
  <si>
    <t>Costo promedio por expediente terminado del programa 927 Servicio Jurisdiccional</t>
  </si>
  <si>
    <t>Costo promedio por expediente terminado del programa 928 Organismo de Investigación Judicial</t>
  </si>
  <si>
    <t>Costo promedio por expediente terminado del programa 929 Ministerio Público</t>
  </si>
  <si>
    <t>Costo promedio por expediente terminado del programa 930 Defensa Pública</t>
  </si>
  <si>
    <t>Costo promedio por expediente terminado del programa 950 Servicio de Atención y Protección a Víctimas y Testigos</t>
  </si>
  <si>
    <t>Costo promedio por expediente terminado de los programas  931 Servicio Notariado, 932 Servicio Justicia de Tránsito, 942 Aporte local préstamo 1377/OC-CR y el 801 superávit</t>
  </si>
  <si>
    <t>Estimación porcentual del costo total de justicia en materia civil del programa 927</t>
  </si>
  <si>
    <t>Estimación del costo total por expediente en materia civil</t>
  </si>
  <si>
    <t>Estimación porcentual del costo total  de justicia en materia cobro del programa 927</t>
  </si>
  <si>
    <t>Estimación del costo total por expediente en materia cobro</t>
  </si>
  <si>
    <t>Estimación porcentual del costo total  de justicia en materia Agrario del programa 927</t>
  </si>
  <si>
    <t xml:space="preserve">Estimación  del costo total por expediente en materia Agrario </t>
  </si>
  <si>
    <t>Estimación porcentual del costo total  de justicia en materia Familia del programa 927</t>
  </si>
  <si>
    <t xml:space="preserve">Estimación del costo total por expediente  en materia Familia </t>
  </si>
  <si>
    <t>Estimación porcentual del costo total  de justicia en materia Cont Administrativo del programa 927</t>
  </si>
  <si>
    <t>Estimación del costo total por expediente en materia Cont Administrativo</t>
  </si>
  <si>
    <t>Estimación porcentual del costo total  de justicia en materia Trabajo del programa 927</t>
  </si>
  <si>
    <t>Estimación porcentual del costo total por expediente en materia Trabajo</t>
  </si>
  <si>
    <t>Estimación porcentual del costo total  de justicia en materia Contravencional del programa 927</t>
  </si>
  <si>
    <t xml:space="preserve">Estimación del costo total por expediente en materia Contravencional </t>
  </si>
  <si>
    <t>Estimación porcentual del costo total  de justicia en materia Tránsito del programa 927</t>
  </si>
  <si>
    <t>Estimación del costo total por expediente en materia Tránsito</t>
  </si>
  <si>
    <t>Estimación porcentual del costo total  de justicia en materia Pensiones Alimentarias del programa 927</t>
  </si>
  <si>
    <t xml:space="preserve">Estimación del costo total por expediente en materia Pensiones Alimentarias </t>
  </si>
  <si>
    <t>Estimación porcentual del costo total  de justicia en materia Violencia Doméstica del programa 927</t>
  </si>
  <si>
    <t xml:space="preserve">Estimación del costo total por expediente  en materia Violencia Doméstica </t>
  </si>
  <si>
    <t>Estimación porcentual del costo total  de justicia en materia Notarial del programa 927</t>
  </si>
  <si>
    <t xml:space="preserve">Estimación del costo total por expediente en materia Notarial </t>
  </si>
  <si>
    <t>Estimación porcentual del costo total  de justicia en materia Penal y Penal Juvenil del programa 927</t>
  </si>
  <si>
    <t>Estimación del costo total por expediente en materia Penal  y Penal Juvenil</t>
  </si>
  <si>
    <t>Estimación porcentual del costo total  de justicia en materia Constitucional del programa 927</t>
  </si>
  <si>
    <t>Estimación del costo total por expediente en materia Constitucional</t>
  </si>
  <si>
    <t>% Gasto total en justicia sobre el PIB (base 1991) cálculo anterior</t>
  </si>
  <si>
    <t>% Gasto total en justicia sobre el PIB (base 2012) cálculo actual</t>
  </si>
  <si>
    <t>% De ejecución presupuestaria del Poder Judicial (devengado)</t>
  </si>
  <si>
    <t>% Gasto variable del Poder Judicial</t>
  </si>
  <si>
    <t>% Gasto en personal del Poder Judicial</t>
  </si>
  <si>
    <t>% Gasto dedicado a personal judicial en el programa 926 Dirección, Administ. Y otros Org. de Apoyo Jurisd respecto del costo de la justicia</t>
  </si>
  <si>
    <t>% Gasto dedicado a personal judicial en el programa 927 Servicio Jurisdiccional respecto del costo de la justicia</t>
  </si>
  <si>
    <t>% Gasto dedicado a personal judicial en el programa 928 Organismo de investigación Judicial respecto del costo de la justicia</t>
  </si>
  <si>
    <t>% Gasto dedicado a personal judicial en el programa 929 Ministerio Público respecto del costo de la justicia</t>
  </si>
  <si>
    <t>% Gasto dedicado a personal judicial en el programa 930 Defensa Pública respecto del costo de la justicia</t>
  </si>
  <si>
    <t>% Gasto dedicado a personal judicial en el programa 950 de Atención y Protección a Víctimas y Testigos respecto del costo de la justicia</t>
  </si>
  <si>
    <t>% Gasto dedicado a personal judicial en otros  programas 931 Servicio Notariado, 932 Servicio Justicia de Tránsito, 942 Aporte local préstamo 1377/OC-CR y el 801 superávit</t>
  </si>
  <si>
    <t>Cobertura</t>
  </si>
  <si>
    <t>Promedio de km2 por juez(a) en Costa Rica</t>
  </si>
  <si>
    <t>Promedio de km2 por fiscal(a) en Costa Rica</t>
  </si>
  <si>
    <t>Promedio de km2 por defensor(a) en Costa Rica</t>
  </si>
  <si>
    <t>Promedio de km2 por investigador(a) en Costa Rica</t>
  </si>
  <si>
    <t>Promedio de km2 por especialista en Atención y Protección a Víctimas y Testigos en Costa Rica</t>
  </si>
  <si>
    <t>Promedio de km2 por cada Tribunal de I Instancia en Costa Rica</t>
  </si>
  <si>
    <t>Promedio de km2 por cada Fiscalía en Costa Rica</t>
  </si>
  <si>
    <t>Promedio de km2 por cada Defensa Pública en Costa Rica</t>
  </si>
  <si>
    <t>Promedio de km2 por cada Delegación en Costa Rica</t>
  </si>
  <si>
    <t>Promedio de km2 por cada Of de Atención y Protección a Víctimas y Testigos en Costa Rica</t>
  </si>
  <si>
    <t>Habitantes por juez/a</t>
  </si>
  <si>
    <t>Entrada neta por juez/a de Primera Instancia</t>
  </si>
  <si>
    <t>Dotación RH</t>
  </si>
  <si>
    <t>Total de personal del Servicio Defensa Pública</t>
  </si>
  <si>
    <t>Total de personal Servicio de Investigación Judicial</t>
  </si>
  <si>
    <t>Cantidad de jueces(as) por 100 mil habitantes</t>
  </si>
  <si>
    <t>Cantidad de fiscales(as) por 100 mil habitantes</t>
  </si>
  <si>
    <t>Cantidad de defensores(as) públicos por 100 mil habitantes</t>
  </si>
  <si>
    <t>Cantidad de investigadores(as) del OIJ por 100 mil habitantes</t>
  </si>
  <si>
    <t>Cantidad de Atención y Protección a Víctimas y Testigos por 100 mil habitantes</t>
  </si>
  <si>
    <t>Cantidad de personal auxiliar del ámbito jurisdiccional por 100 mil habitantes</t>
  </si>
  <si>
    <t>Cantidad de abogados por 100 mil habitantes</t>
  </si>
  <si>
    <t>Carga de trabajo</t>
  </si>
  <si>
    <t>Carga de trabajo por juez o jueza en I, II instancia,Casación y única instancia</t>
  </si>
  <si>
    <t>Carga de trabajo por Juez o Jueza de II Instancia, Casación</t>
  </si>
  <si>
    <t>Carga de trabajo por Juez o Jueza de I Instancia Jurisdiccional</t>
  </si>
  <si>
    <t>Carga de trabajo por fiscal o fiscala en el Ministerio Público (adultos y Penal Juvenil)</t>
  </si>
  <si>
    <t>Carga de trabajo por defensor o defensora en la Defensa Pública</t>
  </si>
  <si>
    <t>Carga de trabajo por investigador o investigadora en el Organismo de Investigación Judicial</t>
  </si>
  <si>
    <t>Carga de trabajo en I y II Instancia, OIJ, Ciencias Forenses, DP y APVT</t>
  </si>
  <si>
    <t>Carga de trabajo en I Instancia Jurisdiccional</t>
  </si>
  <si>
    <t>Carga de trabajo en I Instancia Jurisdiccional-Trámite</t>
  </si>
  <si>
    <t>Carga de trabajo en I Instancia Jurisdiccional + Ministerio Público</t>
  </si>
  <si>
    <t>Carga de trabajo en I Instancia materias no penales</t>
  </si>
  <si>
    <t>Carga de trabajo en I Instancia materia Civil</t>
  </si>
  <si>
    <t>Carga de trabajo en I Instancia materia Cobro</t>
  </si>
  <si>
    <t>Carga de trabajo en I Instancia materia Agraria</t>
  </si>
  <si>
    <t>Carga de trabajo en I Instancia materia Familia</t>
  </si>
  <si>
    <t>Carga de trabajo en I Instancia materia Cont Adm</t>
  </si>
  <si>
    <t>Carga de trabajo en I Instancia materia Trabajo</t>
  </si>
  <si>
    <t>Carga de trabajo en I Instancia materia Contravenciones</t>
  </si>
  <si>
    <t>Carga de trabajo en I Instancia materia Tránsito</t>
  </si>
  <si>
    <t>Carga de trabajo en I Instancia materia Pensiones alimentarias</t>
  </si>
  <si>
    <t>Carga de trabajo en I Instancia materia Violencia Doméstica</t>
  </si>
  <si>
    <t>Carga de trabajo en I Instancia materia Notarial</t>
  </si>
  <si>
    <t>Carga de trabajo en I instancia materia penal</t>
  </si>
  <si>
    <t>Carga de trabajo en I instancia materia penal Tribunales</t>
  </si>
  <si>
    <t>Carga de trabajo en I instancia materia penal Juzgados</t>
  </si>
  <si>
    <t>Carga de trabajo en I instancia materia penal Fiscalías</t>
  </si>
  <si>
    <t>Carga de trabajo en I instancia materia penal juvenil</t>
  </si>
  <si>
    <t>Carga de trabajo en I instancia materia penal juvenil Juzgados</t>
  </si>
  <si>
    <t>Carga de trabajo en I instancia materia penal juvenil Fiscalías</t>
  </si>
  <si>
    <t>Carga de trabajo en única instancia</t>
  </si>
  <si>
    <t>Carga de trabajo en II Instancia</t>
  </si>
  <si>
    <t>Carga de trabajo en II Instancia Trib. De Apelación Penal</t>
  </si>
  <si>
    <t>Carga de trabajo en II Instancia Trib. De Apelación PJ</t>
  </si>
  <si>
    <t>Carga de trabajo en II Instancia Trib. Civiles</t>
  </si>
  <si>
    <t>Carga de trabajo en II Instancia Trib. Laborales</t>
  </si>
  <si>
    <t>Carga de trabajo en II Instancia Trib Cont. Adm.</t>
  </si>
  <si>
    <t>Carga de trabajo en II Instancia Trib. De Apelación Cont. Adm.</t>
  </si>
  <si>
    <t>Carga de trabajo en II Instancia Trib Agrario</t>
  </si>
  <si>
    <t>Carga de trabajo en II Instancia Trib Familia</t>
  </si>
  <si>
    <t>Carga de trabajo en II Instancia Trib. PJ</t>
  </si>
  <si>
    <t>Carga de trabajo en II Instancia Trib. Notariado</t>
  </si>
  <si>
    <t>Carga de trabajo en II Instancia Dir Nacional de Notariado</t>
  </si>
  <si>
    <t>Carga de trabajo en Casación</t>
  </si>
  <si>
    <t>Carga de trabajo en Sala I</t>
  </si>
  <si>
    <t>Carga de trabajo en Sala I, en Trib. De Casación de lo Cont. Adm.</t>
  </si>
  <si>
    <t>Carga de trabajo en Sala II</t>
  </si>
  <si>
    <t>Carga de trabajo en Sala III</t>
  </si>
  <si>
    <t>Carga de trabajo en Sala III PJ</t>
  </si>
  <si>
    <t>Carga de trabajo en Trib. Casación Penal</t>
  </si>
  <si>
    <t>Carga de trabajo en Trib. Casación PJ</t>
  </si>
  <si>
    <t>Carga de trabajo en el programa de Justicia Restaurativa</t>
  </si>
  <si>
    <t>Carga de trabajo en OIJ</t>
  </si>
  <si>
    <t>Carga de trabajo en Ciencias Forenses</t>
  </si>
  <si>
    <t>Carga de trabajo en Defensa Pública</t>
  </si>
  <si>
    <t>Carga de trabajo en Defensa Pública-Laboral</t>
  </si>
  <si>
    <t>Carga de trabajo en Atención y Protección a Víctimas y Testigos</t>
  </si>
  <si>
    <t>% de variación de la carga de trabajo en I instancia Jurisdiccional  con respecto al año anterior</t>
  </si>
  <si>
    <t>% de variación de la carga de trabajo en I Instancia Jurisdiccional- Trámite con respecto al año anterior</t>
  </si>
  <si>
    <t>% de variación de la carga de trabajo en I Instancia Jurisdiccional + MP con respecto al año anterior</t>
  </si>
  <si>
    <t>% de variación de la carga de trabajo en I Instancia materias no penales con respecto al año anterior</t>
  </si>
  <si>
    <t>% de variación de la carga de trabajo en I Instancia materia civil con respecto al año anterior</t>
  </si>
  <si>
    <t>% de variación de la carga de trabajo en I Instancia materia cobratoria con respecto al año anterior</t>
  </si>
  <si>
    <t>% de variación de la carga de trabajo en I Instancia materia agraria con respecto al año anterior</t>
  </si>
  <si>
    <t>% de variación de la carga de trabajo en I Instancia materia de familia con respecto al año anterior</t>
  </si>
  <si>
    <t>% de variación de la carga de trabajo en I Instancia materia contenciosa administrativa con respecto al año anterior</t>
  </si>
  <si>
    <t>% de variación de la carga de trabajo en I Instancia materia de trabajo con respecto al año anterior</t>
  </si>
  <si>
    <t>% de variación de la carga de trabajo en I Instancia materia contravencional con respecto al año anterior</t>
  </si>
  <si>
    <t>% de variación de la carga de trabajo en I Instancia materia de tránsito con respecto al año anterior</t>
  </si>
  <si>
    <t>% de variación de la carga de trabajo en I Instancia materia de pensiones alimentarias con respecto al año anterior</t>
  </si>
  <si>
    <t>% de variación de la carga de trabajo en I Instancia materia de violencia doméstica con respecto al año anterior</t>
  </si>
  <si>
    <t>% de variación de la carga de trabajo en I Instancia materia notarial con respecto al año anterior</t>
  </si>
  <si>
    <t>% de variación de la carga de trabajo en I Instancia materia penal con respecto al año anterior</t>
  </si>
  <si>
    <t>% de variación de la carga de trabajo en I Instancia materia penal tribunales con respecto al año anterior</t>
  </si>
  <si>
    <t>% de variación de la carga de trabajo en I Instancia materia penal juzgados con respecto al año anterior</t>
  </si>
  <si>
    <t>% de variación de la carga de trabajo en I Instancia materia penal fiscalías con respecto al año anterior</t>
  </si>
  <si>
    <t>% de variación de la carga de trabajo en I Instancia materia penal juvenil con respecto al año anterior</t>
  </si>
  <si>
    <t>% de variación de la carga de trabajo en I Instancia materia penal juvenil juzgados con respecto al año anterior</t>
  </si>
  <si>
    <t>% de variación de la carga de trabajo en I Instancia materia penal juvenil fiscalías con respecto al año anterior</t>
  </si>
  <si>
    <t>% de variación de la carga de trabajo en única instancia con respecto al año anterior</t>
  </si>
  <si>
    <t>% de variación de la carga de trabajo en II Instancia con respecto al año anterior</t>
  </si>
  <si>
    <t>% de variación de la carga de trabajo en II Instancia Tribunal de apelación penal con respecto al año anterior</t>
  </si>
  <si>
    <t>% de variación de la carga de trabajo en II Instancia Tribunal de apelación penal juvenil con respecto al año anterior</t>
  </si>
  <si>
    <t>% de variación de la carga de trabajo en II Instancia en Tribunales civiles con respecto al año anterior</t>
  </si>
  <si>
    <t>% de variación de la carga de trabajo en II Instancia en Tribunales laborales con respecto al año anterior</t>
  </si>
  <si>
    <t>% de variación de la carga de trabajo en II Instancia en Tribunal Contencioso Administrativo con respecto al año anterior</t>
  </si>
  <si>
    <t>% de variación de la carga de trabajo en II Instancia en Tribunal de apelación Contencioso Administrativo con respecto al año anterior</t>
  </si>
  <si>
    <t>% de variación de la carga de trabajo en II Instancia en Tribunal Agrario con respecto al año anterior</t>
  </si>
  <si>
    <t>% de variación de la carga de trabajo en II Instancia en Tribunal de Familia con respecto al año anterior</t>
  </si>
  <si>
    <t>% de variación de la carga de trabajo en II Instancia en Tribunal Penal Juvenil con respecto al año anterior</t>
  </si>
  <si>
    <t>% de variación de la carga de trabajo en II Instancia en Tribunal Notarial con respecto al año anterior</t>
  </si>
  <si>
    <t>% de variación de la carga de trabajo en II Instancia en la Dirección Nacional de Notariado con respecto al año anterior</t>
  </si>
  <si>
    <t>% de variación de la carga de trabajo en casación con respecto al año anterior</t>
  </si>
  <si>
    <t>% de variación de la carga de trabajo en Sala I con respecto al año anterior</t>
  </si>
  <si>
    <t>% de variación de la carga de trabajo en Sala I, Tribunal de Casación de lo Contencioso Administrativo con respecto al año anterior</t>
  </si>
  <si>
    <t>% de variación de la carga de trabajo en Sala II con respecto al año anterior</t>
  </si>
  <si>
    <t>% de variación de la carga de trabajo en Sala III con respecto al año anterior</t>
  </si>
  <si>
    <t>% de variación de la carga de trabajo en Sala III PJ con respecto al año anterior</t>
  </si>
  <si>
    <t>% de variación de la carga de trabajo en Tribunal de casación penal con respecto al año anterior</t>
  </si>
  <si>
    <t>% de variación de la carga de trabajo en Tribunal de casación penal juvenil con respecto al año anterior</t>
  </si>
  <si>
    <t>% de variación de la carga de trabajo en el programa de justicia restaurativa con respecto al año anterior</t>
  </si>
  <si>
    <t>% de variación de la carga de trabajo en el OIJ con respecto al año anterior</t>
  </si>
  <si>
    <t>% de variación de la carga de trabajo en Ciencias Forenses con respecto al año anterior</t>
  </si>
  <si>
    <t>% de variación de la carga de trabajo en la Defensa Pública con respecto al año anterior</t>
  </si>
  <si>
    <t>% de variación de la carga de trabajo en la Defensa Pública Laboral con respecto al año anterior</t>
  </si>
  <si>
    <t>% de variación de la carga de trabajo en Atención y Protección a Víctimas y Testigos con respecto al año anterior</t>
  </si>
  <si>
    <t>Delitos</t>
  </si>
  <si>
    <t xml:space="preserve">Tasa de denuncias netas del delito de CONTRA LA VIDA </t>
  </si>
  <si>
    <t>Tasa de denuncias netas del delito de Abandono de incapaces y casos de agravación</t>
  </si>
  <si>
    <t>Tasa de denuncias netas del delito de Abandono por causa de honor</t>
  </si>
  <si>
    <t>Tasa de denuncias netas del delito de Aborto (tentativa de)</t>
  </si>
  <si>
    <t>Tasa de denuncias netas del delito de Aborto con o sin consentimiento</t>
  </si>
  <si>
    <t>Tasa de denuncias netas del delito de Aborto culposo</t>
  </si>
  <si>
    <t>Tasa de denuncias netas del delito de Aborto impune</t>
  </si>
  <si>
    <t>Tasa de denuncias netas del delito de Aborto procurado</t>
  </si>
  <si>
    <t>Tasa de denuncias netas del delito de Agresión (tentativa de)</t>
  </si>
  <si>
    <t>Tasa de denuncias netas del delito de Agresión calificada</t>
  </si>
  <si>
    <t>Tasa de denuncias netas del delito de Agresión con arma</t>
  </si>
  <si>
    <t>Tasa de denuncias netas del delito de Contagio venéreo</t>
  </si>
  <si>
    <t>Tasa de denuncias netas del delito de Descuido con animales</t>
  </si>
  <si>
    <t>Tasa de denuncias netas del delito de Homicidio calificado (tentativa de)</t>
  </si>
  <si>
    <t>Tasa de denuncias netas del delito de Homicidio culposo</t>
  </si>
  <si>
    <t>Tasa de denuncias netas del delito de Homicidio doloso</t>
  </si>
  <si>
    <t>Tasa de denuncias netas del delito de Homicidio doloso (tentativa)</t>
  </si>
  <si>
    <t>Tasa de denuncias netas del delito de Homicidio simple (cómplice de)</t>
  </si>
  <si>
    <t>Tasa de denuncias netas del delito de Homicidio simple (tentativa de)</t>
  </si>
  <si>
    <t>Tasa de denuncias netas del delito de Instigación o ayuda al suicidio</t>
  </si>
  <si>
    <t>Tasa de denuncias netas del delito de Lesiones consentidas</t>
  </si>
  <si>
    <t>Tasa de denuncias netas del delito de Lesiones culposas (Ley de Tránsito)</t>
  </si>
  <si>
    <t>Tasa de denuncias netas del delito de Lesiones culposas (Mal praxis)</t>
  </si>
  <si>
    <t>Tasa de denuncias netas del delito de Lesiones graves</t>
  </si>
  <si>
    <t>Tasa de denuncias netas del delito de Lesiones gravísimas</t>
  </si>
  <si>
    <t>Tasa de denuncias netas del delito de Lesiones leves</t>
  </si>
  <si>
    <t>Tasa de denuncias netas del delito de Lesiones leves en riña</t>
  </si>
  <si>
    <t>Tasa de denuncias netas del delito de Omisión de auxilio</t>
  </si>
  <si>
    <t>Tasa de denuncias netas del delito de Tortura (Artículo 123 Bis)</t>
  </si>
  <si>
    <t>Tasa de denuncias netas del delito de CONTRA EL HONOR</t>
  </si>
  <si>
    <t>Tasa de denuncias netas del delito de Calumnias</t>
  </si>
  <si>
    <t>Tasa de denuncias netas del delito de Difamación</t>
  </si>
  <si>
    <t>Tasa de denuncias netas del delito de Difamación de una persona jurídica</t>
  </si>
  <si>
    <t>Tasa de denuncias netas del delito de Injurias</t>
  </si>
  <si>
    <t>Tasa de denuncias netas del delito de Ofensas a la memoria de un difunto</t>
  </si>
  <si>
    <t>Tasa de denuncias netas del delito de Ofensas en juicio</t>
  </si>
  <si>
    <t>Tasa de denuncias netas del delito de Publicación de ofensas</t>
  </si>
  <si>
    <t>Tasa de denuncias netas del delito de Otros</t>
  </si>
  <si>
    <t>Tasa de denuncias netas del delito de SEXUALES</t>
  </si>
  <si>
    <t>Tasa de denuncias netas del delito de Abusos deshonestos</t>
  </si>
  <si>
    <t>Tasa de denuncias netas del delito de Abusos deshonestos (tentativa de)</t>
  </si>
  <si>
    <t>Tasa de denuncias netas del delito de Abusos sexuales contra las personas mayores de edad</t>
  </si>
  <si>
    <t>Tasa de denuncias netas del delito de Abusos sexuales contra las personas mayores de edad  (tentativa de)</t>
  </si>
  <si>
    <t>Tasa de denuncias netas del delito de Abusos sexuales contra personas menores de edad e incapaces (tentativa de)</t>
  </si>
  <si>
    <t>Tasa de denuncias netas del delito de Abusos sexuales contra personas menores de edad e incapaces</t>
  </si>
  <si>
    <t xml:space="preserve">Tasa de denuncias netas del delito de Actos sexuales remunerados con personas menores de edad </t>
  </si>
  <si>
    <t>Tasa de denuncias netas del delito de Actos sexuales remunerados con personas menores de edad (tentativa de)</t>
  </si>
  <si>
    <t>Tasa de denuncias netas del delito de Corrupción de menores agravada</t>
  </si>
  <si>
    <t>Tasa de denuncias netas del delito de Corrupción de una persona menor de edad e incapaz</t>
  </si>
  <si>
    <t>Tasa de denuncias netas del delito de Difusión de pornografía</t>
  </si>
  <si>
    <t>Tasa de denuncias netas del delito de Fabricación, producción o reproducción de pornografía</t>
  </si>
  <si>
    <t>Tasa de denuncias netas del delito de Participación de terceros relacionados con la víctima que abusen de su autoridad o cargo</t>
  </si>
  <si>
    <t>Tasa de denuncias netas del delito de Proxenetismo</t>
  </si>
  <si>
    <t>Tasa de denuncias netas del delito de Proxenetismo Agravado</t>
  </si>
  <si>
    <t>Tasa de denuncias netas del delito de Rapto (tentativa de)</t>
  </si>
  <si>
    <t>Tasa de denuncias netas del delito de Rapto como delito de acción pública</t>
  </si>
  <si>
    <t>Tasa de denuncias netas del delito de Rapto con fin de matrimonio</t>
  </si>
  <si>
    <t>Tasa de denuncias netas del delito de Rapto Impropio</t>
  </si>
  <si>
    <t>Tasa de denuncias netas del delito de Rapto propio</t>
  </si>
  <si>
    <t>Tasa de denuncias netas del delito de Relaciones sexuales con menores (tentativa de)</t>
  </si>
  <si>
    <t>Tasa de denuncias netas del delito de Relaciones sexuales con personas menores de edad</t>
  </si>
  <si>
    <t>Tasa de denuncias netas del delito de Relaciones sexuales remuneradas con menores de edad</t>
  </si>
  <si>
    <t>Tasa de denuncias netas del delito de Relaciones sexuales remuneradas con personas menores de edad (tentativa de)</t>
  </si>
  <si>
    <t>Tasa de denuncias netas del delito de Rufianería</t>
  </si>
  <si>
    <t>Tasa de denuncias netas del delito de Seducción o encuentros con menores por medios electrónicos</t>
  </si>
  <si>
    <t>Tasa de denuncias netas del delito de Tenencia de material pornográfico</t>
  </si>
  <si>
    <t>Tasa de denuncias netas del delito de Trata de personas</t>
  </si>
  <si>
    <t>Tasa de denuncias netas del delito de Violación</t>
  </si>
  <si>
    <t>Tasa de denuncias netas del delito de Violación (cómplice de)</t>
  </si>
  <si>
    <t>Tasa de denuncias netas del delito de Violación (tentativa de)</t>
  </si>
  <si>
    <t>Tasa de denuncias netas del delito de Violación calificada</t>
  </si>
  <si>
    <t>Tasa de denuncias netas del delito de CONTRA LA FAMILIA</t>
  </si>
  <si>
    <t>Tasa de denuncias netas del delito de Atentado contra la filiación y el estado civil</t>
  </si>
  <si>
    <t>Tasa de denuncias netas del delito de Expendio o procuración de bebidas alcohólicas y tabaco a menores o incapaces</t>
  </si>
  <si>
    <t>Tasa de denuncias netas del delito de Incumplimiento de deberes de asistencia</t>
  </si>
  <si>
    <t>Tasa de denuncias netas del delito de Incumplimiento del deber alimentario</t>
  </si>
  <si>
    <t>Tasa de denuncias netas del delito de Incumplimiento del deber alimentario agravado</t>
  </si>
  <si>
    <t>Tasa de denuncias netas del delito de Incumplimiento o abuso de la Patria Potestad</t>
  </si>
  <si>
    <t>Tasa de denuncias netas del delito de Infractores del proceso de adopción</t>
  </si>
  <si>
    <t>Tasa de denuncias netas del delito de Infractores del proceso de inscripción</t>
  </si>
  <si>
    <t>Tasa de denuncias netas del delito de Inobservacia de formalidades</t>
  </si>
  <si>
    <t>Tasa de denuncias netas del delito de Matrimonio ilegal</t>
  </si>
  <si>
    <t>Tasa de denuncias netas del delito de Ocultación del impedimento</t>
  </si>
  <si>
    <t>Tasa de denuncias netas del delito de Presencia de menores en lugares no autorizados</t>
  </si>
  <si>
    <t>Tasa de denuncias netas del delito de Procuración de armas o sustancias peligrosas</t>
  </si>
  <si>
    <t>Tasa de denuncias netas del delito de Simulación de matrimonio</t>
  </si>
  <si>
    <t>Tasa de denuncias netas del delito de Sustracción simple de una persona menor de edad o sin capacidad volitiva o cognoscitiva</t>
  </si>
  <si>
    <t>Tasa de denuncias netas del delito de Tenencia ilegítima de menores para adopción</t>
  </si>
  <si>
    <t>Tasa de denuncias netas del delito de Venta de objetos peligrosos a menores o incapaces</t>
  </si>
  <si>
    <t>Tasa de denuncias netas del delito de CONTRA LA LIBERTAD</t>
  </si>
  <si>
    <t>Tasa de denuncias netas del delito de Amenazas agravadas</t>
  </si>
  <si>
    <t>Tasa de denuncias netas del delito de Coacción</t>
  </si>
  <si>
    <t>Tasa de denuncias netas del delito de Ocultamiento de detenidos por autoridades</t>
  </si>
  <si>
    <t>Tasa de denuncias netas del delito de Privación de libertad agravada</t>
  </si>
  <si>
    <t>Tasa de denuncias netas del delito de Privación de libertad sin ánimo de lucro</t>
  </si>
  <si>
    <t>Tasa de denuncias netas del delito de Sustracción de la persona menor de edad o con discapacidad</t>
  </si>
  <si>
    <t>Tasa de denuncias netas del delito de Sustracción de la persona menor de edad o con discapacidad(tentativa de)</t>
  </si>
  <si>
    <t>Tasa de denuncias netas del delito de CONTRA LOS DERECHOS HUMANOS</t>
  </si>
  <si>
    <t>Tasa de denuncias netas del delito de Discriminación racial</t>
  </si>
  <si>
    <t>Tasa de denuncias netas del delito de Crímines de lesa humanidad</t>
  </si>
  <si>
    <t>Tasa de denuncias netas del delito de Delito de carácter internacional</t>
  </si>
  <si>
    <t>Tasa de denuncias netas del delito de Tráfico de menores para adopción, artículo 384 C.P.</t>
  </si>
  <si>
    <t>Tasa de denuncias netas del delito de CONTRA EL ÁMBITO DE LA INTIMIDAD</t>
  </si>
  <si>
    <t>Tasa de denuncias netas del delito de Allanamiento ilegal</t>
  </si>
  <si>
    <t>Tasa de denuncias netas del delito de Captación indebida de manifestaciones verbales</t>
  </si>
  <si>
    <t>Tasa de denuncias netas del delito de Divulgación de secretos</t>
  </si>
  <si>
    <t>Tasa de denuncias netas del delito de Profanación de cementerios y cadáveres</t>
  </si>
  <si>
    <t>Tasa de denuncias netas del delito de Propalación</t>
  </si>
  <si>
    <t>Tasa de denuncias netas del delito de Sustracción, desvío o supresión de correspondencia</t>
  </si>
  <si>
    <t>Tasa de denuncias netas del delito de Turbación de actos de culto</t>
  </si>
  <si>
    <t>Tasa de denuncias netas del delito de Uso indebido de correspondencia</t>
  </si>
  <si>
    <t>Tasa de denuncias netas del delito de Violación de comunicaciones electrónicas</t>
  </si>
  <si>
    <t>Tasa de denuncias netas del delito de Violación de correspondencia</t>
  </si>
  <si>
    <t>Tasa de denuncias netas del delito de Violación de correspondencia o comunicaciones</t>
  </si>
  <si>
    <t>Tasa de denuncias netas del delito de Violación de datos personales</t>
  </si>
  <si>
    <t>Tasa de denuncias netas del delito de Violación de domicilio</t>
  </si>
  <si>
    <t>Tasa de denuncias netas del delito de Violación de domicilio (tentativa de)</t>
  </si>
  <si>
    <t>Tasa de denuncias netas del delito de CONTRA LA PROPIEDAD</t>
  </si>
  <si>
    <t>Tasa de denuncias netas del delito de Abandono dañino de animales</t>
  </si>
  <si>
    <t>Tasa de denuncias netas del delito de Administración fraudulenta</t>
  </si>
  <si>
    <t>Tasa de denuncias netas del delito de Alteración de datos y sabotaje informático</t>
  </si>
  <si>
    <t>Tasa de denuncias netas del delito de Apropiación irregular</t>
  </si>
  <si>
    <t>Tasa de denuncias netas del delito de Apropiación y retención indebida</t>
  </si>
  <si>
    <t>Tasa de denuncias netas del delito de Daño agravado</t>
  </si>
  <si>
    <t>Tasa de denuncias netas del delito de Daños</t>
  </si>
  <si>
    <t>Tasa de denuncias netas del delito de Daños (tentativa de)</t>
  </si>
  <si>
    <t>Tasa de denuncias netas del delito de Difusión de información falsa</t>
  </si>
  <si>
    <t>Tasa de denuncias netas del delito de Espionaje informático</t>
  </si>
  <si>
    <t>Tasa de denuncias netas del delito de Estafa</t>
  </si>
  <si>
    <t>Tasa de denuncias netas del delito de Estafa (tentativa de)</t>
  </si>
  <si>
    <t>Tasa de denuncias netas del delito de Estafa de seguro</t>
  </si>
  <si>
    <t>Tasa de denuncias netas del delito de Estafa informática</t>
  </si>
  <si>
    <t>Tasa de denuncias netas del delito de Estafa mediante cheque</t>
  </si>
  <si>
    <t>Tasa de denuncias netas del delito de Estelionato</t>
  </si>
  <si>
    <t>Tasa de denuncias netas del delito de Extorsión</t>
  </si>
  <si>
    <t>Tasa de denuncias netas del delito de Extorsión simple (tentativa de)</t>
  </si>
  <si>
    <t>Tasa de denuncias netas del delito de Fraude de simulación</t>
  </si>
  <si>
    <t>Tasa de denuncias netas del delito de Fraude en la entrega de cosas</t>
  </si>
  <si>
    <t>Tasa de denuncias netas del delito de Fraude informático</t>
  </si>
  <si>
    <t>Tasa de denuncias netas del delito de Hurto simple</t>
  </si>
  <si>
    <t>Tasa de denuncias netas del delito de Hurto  (cómplice de)</t>
  </si>
  <si>
    <t>Tasa de denuncias netas del delito de Hurto (tentativa de)</t>
  </si>
  <si>
    <t>Tasa de denuncias netas del delito de Hurto agravado</t>
  </si>
  <si>
    <t>Tasa de denuncias netas del delito de Hurto agravado (cómplice de)</t>
  </si>
  <si>
    <t>Tasa de denuncias netas del delito de Hurto agravado (tentativa de)</t>
  </si>
  <si>
    <t>Tasa de denuncias netas del delito de Hurto atenuado</t>
  </si>
  <si>
    <t>Tasa de denuncias netas del delito de Hurto de uso</t>
  </si>
  <si>
    <t>Tasa de denuncias netas del delito de Robo agravado</t>
  </si>
  <si>
    <t>Tasa de denuncias netas del delito de Robo agravado (cómplice de)</t>
  </si>
  <si>
    <t>Tasa de denuncias netas del delito de Robo agravado (tentativa de)</t>
  </si>
  <si>
    <t>Tasa de denuncias netas del delito de Robo simple</t>
  </si>
  <si>
    <t>Tasa de denuncias netas del delito de Robo simple (cómplice de)</t>
  </si>
  <si>
    <t>Tasa de denuncias netas del delito de Robo simple (tentativa de)</t>
  </si>
  <si>
    <t>Tasa de denuncias netas del delito de Secuestro extorsivo</t>
  </si>
  <si>
    <t>Tasa de denuncias netas del delito de Secuestro extorsivo (tentativa de)</t>
  </si>
  <si>
    <t>Tasa de denuncias netas del delito de Suplantación de identidad</t>
  </si>
  <si>
    <t>Tasa de denuncias netas del delito de Usurpación</t>
  </si>
  <si>
    <t>Tasa de denuncias netas del delito de Usurpación bienes de dominio público</t>
  </si>
  <si>
    <t>Tasa de denuncias netas del delito de Usurpación de aguas</t>
  </si>
  <si>
    <t>Tasa de denuncias netas del delito de CONTRA LA BUENA FE DE LOS NEGOCIOS</t>
  </si>
  <si>
    <t>Tasa de denuncias netas del delito de Agiotaje</t>
  </si>
  <si>
    <t>Tasa de denuncias netas del delito de Autorización de actos indebidos</t>
  </si>
  <si>
    <t>Tasa de denuncias netas del delito de Connivencia maliciosa</t>
  </si>
  <si>
    <t>Tasa de denuncias netas del delito de Explotación de incapaces</t>
  </si>
  <si>
    <t>Tasa de denuncias netas del delito de Insolvencia fraudulenta</t>
  </si>
  <si>
    <t>Tasa de denuncias netas del delito de Libramiento de cheque sin fondos</t>
  </si>
  <si>
    <t>Tasa de denuncias netas del delito de Ofrecimiento fraudulento de efectos de crédito</t>
  </si>
  <si>
    <t>Tasa de denuncias netas del delito de Propaganda desleal</t>
  </si>
  <si>
    <t>Tasa de denuncias netas del delito de Quiebra culposa</t>
  </si>
  <si>
    <t>Tasa de denuncias netas del delito de Quiebra fraudulenta</t>
  </si>
  <si>
    <t>Tasa de denuncias netas del delito de Recepción de cheques sin fondos</t>
  </si>
  <si>
    <t>Tasa de denuncias netas del delito de Usura</t>
  </si>
  <si>
    <t>Tasa de denuncias netas del delito de CONTRA LA SEGURIDAD COMÚN</t>
  </si>
  <si>
    <t>Tasa de denuncias netas del delito de Abandono de servicio de transporte</t>
  </si>
  <si>
    <t>Tasa de denuncias netas del delito de Accionamiento de arma</t>
  </si>
  <si>
    <t>Tasa de denuncias netas del delito de Adulteración de otras sustancias</t>
  </si>
  <si>
    <t>Tasa de denuncias netas del delito de Atentado contra plantas, conductores de energía y de comunicaciones</t>
  </si>
  <si>
    <t>Tasa de denuncias netas del delito de Circulación de sustancias envenenadas o adulteradas</t>
  </si>
  <si>
    <t>Tasa de denuncias netas del delito de Conducción temeraria</t>
  </si>
  <si>
    <t xml:space="preserve">Tasa de denuncias netas del delito de Corrupción de sustancias alimenticias o medicinales </t>
  </si>
  <si>
    <t>Tasa de denuncias netas del delito de Creación de peligro para transportes terrestres</t>
  </si>
  <si>
    <t>Tasa de denuncias netas del delito de Desastre culposo</t>
  </si>
  <si>
    <t xml:space="preserve">Tasa de denuncias netas del delito de Entorpecimiento de servicios públicos </t>
  </si>
  <si>
    <t>Tasa de denuncias netas del delito de Estrago</t>
  </si>
  <si>
    <t>Tasa de denuncias netas del delito de Fabricación o tenencia de materiales explosivos</t>
  </si>
  <si>
    <t>Tasa de denuncias netas del delito de Incendio (tentativa de)</t>
  </si>
  <si>
    <t>Tasa de denuncias netas del delito de Incendio o explosión</t>
  </si>
  <si>
    <t>Tasa de denuncias netas del delito de Obstrucción de la vía pública</t>
  </si>
  <si>
    <t>Tasa de denuncias netas del delito de Peligro de accidente culposo</t>
  </si>
  <si>
    <t>Tasa de denuncias netas del delito de Peligro de naufragio y de desastre aéreo</t>
  </si>
  <si>
    <t>Tasa de denuncias netas del delito de Piratería y actos ilícitos contra la seguridad de la navegación marítima</t>
  </si>
  <si>
    <t>Tasa de denuncias netas del delito de Propagación de enfermedades infecto-contagiosas</t>
  </si>
  <si>
    <t>Tasa de denuncias netas del delito de Responsabilidad por culpa</t>
  </si>
  <si>
    <t>Tasa de denuncias netas del delito de Suministro indebido de estupefacientes agravado</t>
  </si>
  <si>
    <t>Tasa de denuncias netas del delito de Suministro indebido de medicamento</t>
  </si>
  <si>
    <t>Tasa de denuncias netas del delito de Violación de medidas sanitarias y para la prevención de epizootias o plagas vegetales</t>
  </si>
  <si>
    <t>Tasa de denuncias netas del delito de CONTRA LA TRANQUILIDAD PÚBLICA</t>
  </si>
  <si>
    <t>Tasa de denuncias netas del delito de Asociación ilícita</t>
  </si>
  <si>
    <t>Tasa de denuncias netas del delito de Instigación pública</t>
  </si>
  <si>
    <t>Tasa de denuncias netas del delito de Intimidación pública</t>
  </si>
  <si>
    <t>Tasa de denuncias netas del delito de CONTRA LA SEGURIDAD DE LA NACIÓN</t>
  </si>
  <si>
    <t>Tasa de denuncias netas del delito de Actos hostiles</t>
  </si>
  <si>
    <t>Tasa de denuncias netas del delito de Conspiración para traición</t>
  </si>
  <si>
    <t>Tasa de denuncias netas del delito de Daño en objeto de interés militar</t>
  </si>
  <si>
    <t>Tasa de denuncias netas del delito de Espionaje</t>
  </si>
  <si>
    <t>Tasa de denuncias netas del delito de Explotación indebida de riqueza nacional por extranjero</t>
  </si>
  <si>
    <t>Tasa de denuncias netas del delito de Infidelidad diplomática</t>
  </si>
  <si>
    <t>Tasa de denuncias netas del delito de Revelación de secretos de estado</t>
  </si>
  <si>
    <t>Tasa de denuncias netas del delito de Revelación por culpa</t>
  </si>
  <si>
    <t xml:space="preserve">Tasa de denuncias netas del delito de Violación de contratos relativos a la seguridad nacional </t>
  </si>
  <si>
    <t>Tasa de denuncias netas del delito de Violación de tregua</t>
  </si>
  <si>
    <t>Tasa de denuncias netas del delito de CONTRA LA AUTORIDAD PÚBLICA</t>
  </si>
  <si>
    <t>Tasa de denuncias netas del delito de Amenaza a un funcionario público</t>
  </si>
  <si>
    <t>Tasa de denuncias netas del delito de Atentado a la autoridad pública</t>
  </si>
  <si>
    <t>Tasa de denuncias netas del delito de Desobediencia a la autoridad pública</t>
  </si>
  <si>
    <t>Tasa de denuncias netas del delito de Ejercicio ilegal de una profesión</t>
  </si>
  <si>
    <t>Tasa de denuncias netas del delito de Facilitación culposa</t>
  </si>
  <si>
    <t>Tasa de denuncias netas del delito de Molestia o estorbo a la autoridad</t>
  </si>
  <si>
    <t>Tasa de denuncias netas del delito de Perjurio</t>
  </si>
  <si>
    <t>Tasa de denuncias netas del delito de Resistencia a la autoridad pública</t>
  </si>
  <si>
    <t>Tasa de denuncias netas del delito de Resistencia a la autoridad pública agravada</t>
  </si>
  <si>
    <t>Tasa de denuncias netas del delito de Uso ilegal de uniformes, insignias o dispositivos policiales</t>
  </si>
  <si>
    <t>Tasa de denuncias netas del delito de Usurpación de autoridad</t>
  </si>
  <si>
    <t>Tasa de denuncias netas del delito de Violación de la custodia de cosas</t>
  </si>
  <si>
    <t>Tasa de denuncias netas del delito de Violación de sellos</t>
  </si>
  <si>
    <t>Tasa de denuncias netas del delito de CONTRA LA ADMINISTRACIÓN DE JUSTICIA</t>
  </si>
  <si>
    <t>Tasa de denuncias netas del delito de Autocalumnia</t>
  </si>
  <si>
    <t>Tasa de denuncias netas del delito de Denuncia y querella calumniosa y calumnia real</t>
  </si>
  <si>
    <t>Tasa de denuncias netas del delito de Encubrimiento y divulgación de información confidencial</t>
  </si>
  <si>
    <t>Tasa de denuncias netas del delito de Evasión</t>
  </si>
  <si>
    <t>Tasa de denuncias netas del delito de Evasión (tentativa de)</t>
  </si>
  <si>
    <t>Tasa de denuncias netas del delito de Evasión por culpa</t>
  </si>
  <si>
    <t>Tasa de denuncias netas del delito de Falso testimonio</t>
  </si>
  <si>
    <t>Tasa de denuncias netas del delito de Favorecimiento de evasión</t>
  </si>
  <si>
    <t>Tasa de denuncias netas del delito de Favorecimiento personal</t>
  </si>
  <si>
    <t>Tasa de denuncias netas del delito de Favorecimiento real</t>
  </si>
  <si>
    <t>Tasa de denuncias netas del delito de Ofrecimiento de testigo falso</t>
  </si>
  <si>
    <t>Tasa de denuncias netas del delito de Quebrantamiento de inhabilitación</t>
  </si>
  <si>
    <t>Tasa de denuncias netas del delito de Receptación</t>
  </si>
  <si>
    <t>Tasa de denuncias netas del delito de Receptación de cosas de procedencia sospechosa</t>
  </si>
  <si>
    <t>Tasa de denuncias netas del delito de Simulación de delito</t>
  </si>
  <si>
    <t>Tasa de denuncias netas del delito de Soborno</t>
  </si>
  <si>
    <t>Tasa de denuncias netas del delito de Soborno (tentativa de)</t>
  </si>
  <si>
    <t>Tasa de denuncias netas del delito de CONTRA LOS DEBERES DE LA FUNCIÓN PÚBLICA</t>
  </si>
  <si>
    <t>Tasa de denuncias netas del delito de Abandono del cargo</t>
  </si>
  <si>
    <t>Tasa de denuncias netas del delito de Abuso de autoridad</t>
  </si>
  <si>
    <t>Tasa de denuncias netas del delito de Aceptación de dádivas por un acto cumplido</t>
  </si>
  <si>
    <t>Tasa de denuncias netas del delito de Cohecho impropio</t>
  </si>
  <si>
    <t>Tasa de denuncias netas del delito de Cohecho propio</t>
  </si>
  <si>
    <t>Tasa de denuncias netas del delito de Concusión</t>
  </si>
  <si>
    <t>Tasa de denuncias netas del delito de Corrupción agravada</t>
  </si>
  <si>
    <t>Tasa de denuncias netas del delito de Corrupción de jueces</t>
  </si>
  <si>
    <t>Tasa de denuncias netas del delito de Delitos cometidos por funcionarios públicos</t>
  </si>
  <si>
    <t>Tasa de denuncias netas del delito de Demora injustificada de pagos</t>
  </si>
  <si>
    <t>Tasa de denuncias netas del delito de Denegación de Auxilio</t>
  </si>
  <si>
    <t>Tasa de denuncias netas del delito de Divulgación de secretos de la función pública</t>
  </si>
  <si>
    <t>Tasa de denuncias netas del delito de Doble representación</t>
  </si>
  <si>
    <t>Tasa de denuncias netas del delito de Exacción ilegal</t>
  </si>
  <si>
    <t>Tasa de denuncias netas del delito de Facilitación culposa de substracciones</t>
  </si>
  <si>
    <t>Tasa de denuncias netas del delito de Incumplimiento de deberes de la función pública</t>
  </si>
  <si>
    <t>Tasa de denuncias netas del delito de Malversación</t>
  </si>
  <si>
    <t>Tasa de denuncias netas del delito de Negociaciones incompatibles</t>
  </si>
  <si>
    <t>Tasa de denuncias netas del delito de Nombramientos ilegales</t>
  </si>
  <si>
    <t>Tasa de denuncias netas del delito de Ofrecimiento u otorgamiento de dádiva o retribución</t>
  </si>
  <si>
    <t>Tasa de denuncias netas del delito de Patrocinio infiel</t>
  </si>
  <si>
    <t>Tasa de denuncias netas del delito de Peculado</t>
  </si>
  <si>
    <t>Tasa de denuncias netas del delito de Peculado y malversación de fondos privados</t>
  </si>
  <si>
    <t>Tasa de denuncias netas del delito de Penalidad del corruptor</t>
  </si>
  <si>
    <t>Tasa de denuncias netas del delito de Prevaricato</t>
  </si>
  <si>
    <t>Tasa de denuncias netas del delito de Sujetos equiparados</t>
  </si>
  <si>
    <t>Tasa de denuncias netas del delito de Violación de fueros</t>
  </si>
  <si>
    <t>Tasa de denuncias netas del delito de INFRACCIÓN LEY ENRIQUECIMIENTO ILÍCITO</t>
  </si>
  <si>
    <t>Tasa de denuncias netas del delito de Apropiación de bienes obsequiados al estado</t>
  </si>
  <si>
    <t>Tasa de denuncias netas del delito de Consecuencias civiles del enriquecimiento ilícito</t>
  </si>
  <si>
    <t>Tasa de denuncias netas del delito de Falsedad en la declaración jurada</t>
  </si>
  <si>
    <t>Tasa de denuncias netas del delito de Falsedad en la recepción de bienes u servicios contratados</t>
  </si>
  <si>
    <t>Tasa de denuncias netas del delito de Fraude de ley en la función administrativa</t>
  </si>
  <si>
    <t>Tasa de denuncias netas del delito de Legislación o administración en provecho propio</t>
  </si>
  <si>
    <t>Tasa de denuncias netas del delito de Influencia en contra de la hacienda pública</t>
  </si>
  <si>
    <t>Tasa de denuncias netas del delito de Pago irregular de contratos administrativos</t>
  </si>
  <si>
    <t>Tasa de denuncias netas del delito de Receptación, legalización o encubrimiento de bienes</t>
  </si>
  <si>
    <t>Tasa de denuncias netas del delito de Reconocimiento ilegal de beneficios laborales</t>
  </si>
  <si>
    <t>Tasa de denuncias netas del delito de Sobreprecio irregular</t>
  </si>
  <si>
    <t>Tasa de denuncias netas del delito de Tráfico de influencias</t>
  </si>
  <si>
    <t>Tasa de denuncias netas del delito de Violación de la privacidad de la información de las declaraciones juradas</t>
  </si>
  <si>
    <t>Tasa de denuncias netas del delito de Infracción Ley Enriquecimiento ilícito (otros)</t>
  </si>
  <si>
    <t>Tasa de denuncias netas del delito de CONTRA LOS PODERES PÚBLICOS Y ORDEN CONSTITUCIONAL</t>
  </si>
  <si>
    <t>Tasa de denuncias netas del delito de Menosprecio o vilipendio público para los símbolos nacionales</t>
  </si>
  <si>
    <t>Tasa de denuncias netas del delito de Motín</t>
  </si>
  <si>
    <t>Tasa de denuncias netas del delito de Propaganda contra el orden constitucional</t>
  </si>
  <si>
    <t>Tasa de denuncias netas del delito de Rebelión</t>
  </si>
  <si>
    <t>Tasa de denuncias netas del delito de Responsabilidad de los promotores o directores</t>
  </si>
  <si>
    <t>Tasa de denuncias netas del delito de Seducción de fuerzas de seguridad</t>
  </si>
  <si>
    <t>Tasa de denuncias netas del delito de Violación al principio de alternabilidad</t>
  </si>
  <si>
    <t>Tasa de denuncias netas del delito de CONTRA LA FE PÚBLICA</t>
  </si>
  <si>
    <t>Tasa de denuncias netas del delito de Circulación de moneda falsa recibida de buena fe</t>
  </si>
  <si>
    <t>Tasa de denuncias netas del delito de Documentos equiparados</t>
  </si>
  <si>
    <t>Tasa de denuncias netas del delito de Falsedad ideológica</t>
  </si>
  <si>
    <t>Tasa de denuncias netas del delito de Falsedad ideológica en certificados médicos</t>
  </si>
  <si>
    <t>Tasa de denuncias netas del delito de Falsificación de documentos privados</t>
  </si>
  <si>
    <t>Tasa de denuncias netas del delito de Falsificación de documentos públicos y auténticos</t>
  </si>
  <si>
    <t>Tasa de denuncias netas del delito de Falsificación de moneda</t>
  </si>
  <si>
    <t>Tasa de denuncias netas del delito de Falsificación de sellos</t>
  </si>
  <si>
    <t>Tasa de denuncias netas del delito de Falsificación de señas y marcas</t>
  </si>
  <si>
    <t>Tasa de denuncias netas del delito de Restauración fraudulenta de sellos</t>
  </si>
  <si>
    <t>Tasa de denuncias netas del delito de Supresión, ocultación y destrucción de documento</t>
  </si>
  <si>
    <t>Tasa de denuncias netas del delito de Tenencia de instrumentos de falsificación</t>
  </si>
  <si>
    <t>Tasa de denuncias netas del delito de Tráfico de personas menores de edad</t>
  </si>
  <si>
    <t>Tasa de denuncias netas del delito de Uso de falso documento</t>
  </si>
  <si>
    <t>Tasa de denuncias netas del delito de INFRACCIÓN LEY BIENESTAR ANIMAL</t>
  </si>
  <si>
    <t>Tasa de denuncias netas del delito de Crueldad contra los animales</t>
  </si>
  <si>
    <t>Tasa de denuncias netas del delito de Muerte de animal</t>
  </si>
  <si>
    <t>Tasa de denuncias netas del delito de Pelea de animales por deporte</t>
  </si>
  <si>
    <t>Tasa de denuncias netas del delito de INFRACCIÓN A LA LEY DE PSICOTRÓPICOS</t>
  </si>
  <si>
    <t>Tasa de denuncias netas del delito de Almacenamiento de Drogas, Sustancias o Productos sin Autorización Legal</t>
  </si>
  <si>
    <t>Tasa de denuncias netas del delito de Comercio de droga y sustancias sin autorización legal</t>
  </si>
  <si>
    <t>Tasa de denuncias netas del delito de Construcción o Facilitación de Uso de Pistas de Aterrizaje o Sitios de Atraque</t>
  </si>
  <si>
    <t>Tasa de denuncias netas del delito de Cultivar-producir-extraer drogas</t>
  </si>
  <si>
    <t>Tasa de denuncias netas del delito de Distribuir-suministrar-poseer drogas</t>
  </si>
  <si>
    <t>Tasa de denuncias netas del delito de Elaborar-fabricar-refinar-transformar-preparar droga</t>
  </si>
  <si>
    <t>Tasa de denuncias netas del delito de Introducción de droga en un centro penitenciario</t>
  </si>
  <si>
    <t>Tasa de denuncias netas del delito de Legitimación de capitales</t>
  </si>
  <si>
    <t>Tasa de denuncias netas del delito de Posesión de droga</t>
  </si>
  <si>
    <t>Tasa de denuncias netas del delito de Suministro de Drogas, Sustancias o Productos sin Autorización Legal</t>
  </si>
  <si>
    <t>Tasa de denuncias netas del delito de Tenencia de droga</t>
  </si>
  <si>
    <t>Tasa de denuncias netas del delito de Tráfico de droga / transporte de droga</t>
  </si>
  <si>
    <t>Tasa de denuncias netas del delito de Tráfico internacional de droga</t>
  </si>
  <si>
    <t>Tasa de denuncias netas del delito de Venta de droga</t>
  </si>
  <si>
    <t>Tasa de denuncias netas del delito de Infracción ley de psicotrópicos (otros)</t>
  </si>
  <si>
    <t>Tasa de denuncias netas del delito de INFRACCIÓN LEY  FORESTAL</t>
  </si>
  <si>
    <t>Tasa de denuncias netas del delito de Adquisición o procesamiento ilegal de productos forestales</t>
  </si>
  <si>
    <t>Tasa de denuncias netas del delito de Apertura de caminos o trochas en bosque</t>
  </si>
  <si>
    <t>Tasa de denuncias netas del delito de Aprovechamiento de productos forestales en propiedad privada sin el permiso de la AFE o en excediendo el permiso Art. 61 inc a)</t>
  </si>
  <si>
    <t>Tasa de denuncias netas del delito de Aprovechamiento de recursos forestales patrimonio natural del Estado</t>
  </si>
  <si>
    <t>Tasa de denuncias netas del delito de Aprovechamiento en áreas de protección</t>
  </si>
  <si>
    <t>Tasa de denuncias netas del delito de Cambio de uso del suelo (bosque)</t>
  </si>
  <si>
    <t>Tasa de denuncias netas del delito de Envenamiento o anillado de árboles sin el permiso de la AFE</t>
  </si>
  <si>
    <t>Tasa de denuncias netas del delito de Incendio forestal con culpa</t>
  </si>
  <si>
    <t>Tasa de denuncias netas del delito de Incendio forestal con dolo</t>
  </si>
  <si>
    <t>Tasa de denuncias netas del delito de Invasión a un área de conservación o protección</t>
  </si>
  <si>
    <t>Tasa de denuncias netas del delito de Irrespeto de vedas forestales declaradas</t>
  </si>
  <si>
    <t>Tasa de denuncias netas del delito de Movilización de madera de bosque o plantación sin permisos</t>
  </si>
  <si>
    <t>Tasa de denuncias netas del delito de Sustracción de productos forestales propiedad Estado</t>
  </si>
  <si>
    <t>Tasa de denuncias netas del delito de Sustracción de productos forestales propiedad privada</t>
  </si>
  <si>
    <t>Tasa de denuncias netas del delito de Tala en zona de protección</t>
  </si>
  <si>
    <t>Tasa de denuncias netas del delito de Transporte de productos forestales sustraídos.</t>
  </si>
  <si>
    <t>Tasa de denuncias netas del delito de Transporte ilegal de madera</t>
  </si>
  <si>
    <t>Tasa de denuncias netas del delito de Infracción Ley Forestal (otros)</t>
  </si>
  <si>
    <t>Tasa de denuncias netas del delito de INFRACCIÓN LEY CONSERVACION DE VIDA SILVESTRE</t>
  </si>
  <si>
    <t>Tasa de denuncias netas del delito de Comercio, trafico o trasiego de flora silvestre, productos y subproductos de especies en peligro de extinción sin el permiso del SINAC</t>
  </si>
  <si>
    <t>Tasa de denuncias netas del delito de Comercio, trafico, trasiego de animales silvestres sin el permiso del SINAC</t>
  </si>
  <si>
    <t>Tasa de denuncias netas del delito de Drenaje, relleno, secado o eliminación de humedales</t>
  </si>
  <si>
    <t>Tasa de denuncias netas del delito de Extracción, destrucción de plantas o sus productos sin autorización en áreas oficiales de protección.</t>
  </si>
  <si>
    <t>Tasa de denuncias netas del delito de Exportación o importación de flora silvestre sin la autorización del SINAC</t>
  </si>
  <si>
    <t>Tasa de denuncias netas del delito de Exportación o importación de animales silvestres, sus productos y derivados, sin el permiso del SINAC</t>
  </si>
  <si>
    <t>Tasa de denuncias netas del delito de Infracción Ley de Conservación de Vida Silvestre (otros)</t>
  </si>
  <si>
    <t>Tasa de denuncias netas del delito de INFRACCIÓN LEY GENERAL DE ADUANAS</t>
  </si>
  <si>
    <t>Tasa de denuncias netas del delito de Contrabando. Artículo 211</t>
  </si>
  <si>
    <t>Tasa de denuncias netas del delito de Contrabando Agravado. Artículo 213</t>
  </si>
  <si>
    <t>Tasa de denuncias netas del delito de Defraudación fiscal aduanera. artículo 214</t>
  </si>
  <si>
    <t>Tasa de denuncias netas del delito de Defraudación fiscal Aduanera, artículo 214 (tentativa de)</t>
  </si>
  <si>
    <t>Tasa de denuncias netas del delito de Delitos informáticos</t>
  </si>
  <si>
    <t>Tasa de denuncias netas del delito de Falsedad de la declaración aduanera y otros delitos de tipo aduanero (art 220 bis inc. b y c)</t>
  </si>
  <si>
    <t>Tasa de denuncias netas del delito de Incumplimiento de deberes de terceros</t>
  </si>
  <si>
    <t>Tasa de denuncias netas del delito de Incumplimiento de Medidas de Seguridad. Artículo 219</t>
  </si>
  <si>
    <t>Tasa de denuncias netas del delito de Ocultamiento o destrucción de información</t>
  </si>
  <si>
    <t>Tasa de denuncias netas del delito de Tenencia ilícita de sellos de identificación y otros sistemas de seguridad</t>
  </si>
  <si>
    <t>Tasa de denuncias netas del delito de Infracción Ley General de Aduanas (otros)</t>
  </si>
  <si>
    <t>Tasa de denuncias netas del delito de INFRACCIÓN LEY PROTECCIÓN ADULTO MAYOR</t>
  </si>
  <si>
    <t>Tasa de denuncias netas del delito de Agresión física</t>
  </si>
  <si>
    <t>Tasa de denuncias netas del delito de Agresión patrimonial</t>
  </si>
  <si>
    <t>Tasa de denuncias netas del delito de Agresión psicológica</t>
  </si>
  <si>
    <t>Tasa de denuncias netas del delito de Agresión sexual</t>
  </si>
  <si>
    <t>Tasa de denuncias netas del delito de Explotación de personas adultas mayores</t>
  </si>
  <si>
    <t>Tasa de denuncias netas del delito de Inhabilitación especial</t>
  </si>
  <si>
    <t>Tasa de denuncias netas del delito de Infracción ley protección adulto mayor (otros)</t>
  </si>
  <si>
    <t>Tasa de denuncias netas del delito de INFRACCIÓN LEY DE ARMAS Y EXPLOSIVOS</t>
  </si>
  <si>
    <t>Tasa de denuncias netas del delito de Acopio de armas prohibidas</t>
  </si>
  <si>
    <t>Tasa de denuncias netas del delito de Administración irregular</t>
  </si>
  <si>
    <t>Tasa de denuncias netas del delito de Alteración de características</t>
  </si>
  <si>
    <t>Tasa de denuncias netas del delito de Comercio de armas, explosivos y pólvora</t>
  </si>
  <si>
    <t>Tasa de denuncias netas del delito de Fabricación, exportación e importación ilegales</t>
  </si>
  <si>
    <t>Tasa de denuncias netas del delito de Facilitación de armas</t>
  </si>
  <si>
    <t>Tasa de denuncias netas del delito de Introducción clandestina de armas permitidas</t>
  </si>
  <si>
    <t>Tasa de denuncias netas del delito de Introducción y tráfico de materiales prohibidos</t>
  </si>
  <si>
    <t>Tasa de denuncias netas del delito de Portación ilícita de arma permitida</t>
  </si>
  <si>
    <t>Tasa de denuncias netas del delito de Tenencia de armas prohibidas</t>
  </si>
  <si>
    <t>Tasa de denuncias netas del delito de Tenencia y portación ilegal de armas permitidas</t>
  </si>
  <si>
    <t>Tasa de denuncias netas del delito de Infracción ley de armas y explosivos (otros)</t>
  </si>
  <si>
    <t>Tasa de denuncias netas del delito de INFRACCIÓN LEY DE  PENALIZACIÓN DE VIOLENCIA CONTRA LA MUJER</t>
  </si>
  <si>
    <t>Tasa de denuncias netas del delito de Amenazas contra una mujer-violencia psicológica</t>
  </si>
  <si>
    <t>Tasa de denuncias netas del delito de Conductas sexuales abusivas</t>
  </si>
  <si>
    <t>Tasa de denuncias netas del delito de Daño patrimonial</t>
  </si>
  <si>
    <t>Tasa de denuncias netas del delito de Distracción de las utilidades de las actividades económicas familiares</t>
  </si>
  <si>
    <t>Tasa de denuncias netas del delito de Explotación económica de la mujer</t>
  </si>
  <si>
    <t>Tasa de denuncias netas del delito de Explotación sexual de una mujer</t>
  </si>
  <si>
    <t>Tasa de denuncias netas del delito de Femicidio</t>
  </si>
  <si>
    <t>Tasa de denuncias netas del delito de Femicidio (tentativa de)</t>
  </si>
  <si>
    <t>Tasa de denuncias netas del delito de Formas agravadas de violencia sexual</t>
  </si>
  <si>
    <t>Tasa de denuncias netas del delito de Fraude de simulación sobre bienes susceptibles de ser gananciales</t>
  </si>
  <si>
    <t>Tasa de denuncias netas del delito de Incumplimiento de deberes agravado</t>
  </si>
  <si>
    <t>Tasa de denuncias netas del delito de Incumplimiento de una medida de protección</t>
  </si>
  <si>
    <t>Tasa de denuncias netas del delito de Limitación al ejercicio del derecho de propiedad</t>
  </si>
  <si>
    <t>Tasa de denuncias netas del delito de Maltrato</t>
  </si>
  <si>
    <t>Tasa de denuncias netas del delito de Obstaculizar el acceso a la justicia</t>
  </si>
  <si>
    <t>Tasa de denuncias netas del delito de Ofensas a la dignidad- violencia psicológica</t>
  </si>
  <si>
    <t>Tasa de denuncias netas del delito de Restricción a la autodeterminación- violencia psicológica</t>
  </si>
  <si>
    <t>Tasa de denuncias netas del delito de Restricción a la libertad de tránsito</t>
  </si>
  <si>
    <t>Tasa de denuncias netas del delito de Sustracción patrimonial</t>
  </si>
  <si>
    <t>Tasa de denuncias netas del delito de Violación contra una mujer</t>
  </si>
  <si>
    <t>Tasa de denuncias netas del delito de Violencia emocional</t>
  </si>
  <si>
    <t>Tasa de denuncias netas del delito de Infracción ley penalización de violencia contra la mujer (otros)</t>
  </si>
  <si>
    <t>Tasa de denuncias netas del delito de INFRACCIÓN LEYES ESPECIALES</t>
  </si>
  <si>
    <t>Tasa de denuncias netas del delito de Infracción Código de Normas y Procedimientos Tributarios</t>
  </si>
  <si>
    <t>Tasa de denuncias netas del delito de Infracción Ley Código Electoral</t>
  </si>
  <si>
    <t>Tasa de denuncias netas del delito de Infracción Código Fiscal</t>
  </si>
  <si>
    <t>Tasa de denuncias netas del delito de Infracción Código Municipal</t>
  </si>
  <si>
    <t>Tasa de denuncias netas del delito de Infracción Ley Arrendamiento Urbano</t>
  </si>
  <si>
    <t>Tasa de denuncias netas del delito de Infracción Ley Banco de Costa Rica</t>
  </si>
  <si>
    <t>Tasa de denuncias netas del delito de Infracción Ley Caza y Pesca</t>
  </si>
  <si>
    <t>Tasa de denuncias netas del delito de Infracción Ley Contra la Delincuencia Organizada</t>
  </si>
  <si>
    <t>Tasa de denuncias netas del delito de Infracción Ley Contra la Violencia Doméstica</t>
  </si>
  <si>
    <t>Tasa de denuncias netas del delito de Infracción Ley Control Ganado Bovino</t>
  </si>
  <si>
    <t>Tasa de denuncias netas del delito de Infracción Ley de Aguas</t>
  </si>
  <si>
    <t>Tasa de denuncias netas del delito de Infracción Ley de Espectáculos Públicos, materiales audiovisuales e impresos</t>
  </si>
  <si>
    <t>Tasa de denuncias netas del delito de Infracción Ley de Extradición</t>
  </si>
  <si>
    <t>Tasa de denuncias netas del delito de Infracción Ley de igualdad de oportunidad para personas con discapacidad</t>
  </si>
  <si>
    <t>Tasa de denuncias netas del delito de Infracción Ley de Imprenta</t>
  </si>
  <si>
    <t>Tasa de denuncias netas del delito de Infracción Ley de Juegos</t>
  </si>
  <si>
    <t>Tasa de denuncias netas del delito de Infracción Ley de la Defensoría de los Habitantes</t>
  </si>
  <si>
    <t>Tasa de denuncias netas del delito de Infracción Ley de la Jurisdicción Constitucional</t>
  </si>
  <si>
    <t xml:space="preserve">Tasa de denuncias netas del delito de Infracción Ley de la promoción, competencia y defensa efectiva del consumidor </t>
  </si>
  <si>
    <t>Tasa de denuncias netas del delito de Infracción Ley de Minería</t>
  </si>
  <si>
    <t>Tasa de denuncias netas del delito de Infracción Ley Delitos Mineros</t>
  </si>
  <si>
    <t>Tasa de denuncias netas del delito de Infracción Ley de Pesca y Acuicultura</t>
  </si>
  <si>
    <t>Tasa de denuncias netas del delito de Infracción Ley de procedimientos de observancia de los derechos de propiedad intelectual</t>
  </si>
  <si>
    <t>Tasa de denuncias netas del delito de Infracción Ley de Protección Fitosanitaria</t>
  </si>
  <si>
    <t>Tasa de denuncias netas del delito de Infracción Ley de Regulación y Comercialización de bebidas con contenido alcohólico</t>
  </si>
  <si>
    <t>Tasa de denuncias netas del delito de Infracción Ley de Rifas y Loterías</t>
  </si>
  <si>
    <t>Tasa de denuncias netas del delito de Infracción Ley de Sanidad Vegetal</t>
  </si>
  <si>
    <t>Tasa de denuncias netas del delito de Infracción Ley de Títulos Supletorios</t>
  </si>
  <si>
    <t>Tasa de denuncias netas del delito de Infracción Ley de Tránsito</t>
  </si>
  <si>
    <t>Tasa de denuncias netas del delito de Infracción Ley de Derechos de Autor y Derechos Conexos</t>
  </si>
  <si>
    <t>Tasa de denuncias netas del delito de Infracción Ley General de Administración Financiera</t>
  </si>
  <si>
    <t>Tasa de denuncias netas del delito de Infracción Ley General de Caminos Públicos</t>
  </si>
  <si>
    <t>Tasa de denuncias netas del delito de Infracción Ley General de Migración y Extranjería</t>
  </si>
  <si>
    <t>Tasa de denuncias netas del delito de Infracción Ley General de Salud</t>
  </si>
  <si>
    <t>Tasa de denuncias netas del delito de Infracción Ley General del servicio nacional de salud animal</t>
  </si>
  <si>
    <t>Tasa de denuncias netas del delito de Infracción Ley Orgánica del Ambiente</t>
  </si>
  <si>
    <t>Tasa de denuncias netas del delito de Infracción Ley Orgánica del Banco Central</t>
  </si>
  <si>
    <t>Tasa de denuncias netas del delito de Infracción Ley Orgánica del Ministerio de Trabajo y Seguridad Social</t>
  </si>
  <si>
    <t>Tasa de denuncias netas del delito de Infracción Ley Orgánica del TSE y del Registro Civil</t>
  </si>
  <si>
    <t>Tasa de denuncias netas del delito de Infracción Ley para Garantizar Seguridad y Orden</t>
  </si>
  <si>
    <t>Tasa de denuncias netas del delito de Infracción Ley para la gestión integral de residuos</t>
  </si>
  <si>
    <t>Tasa de denuncias netas del delito de Infracción Ley Patrimonio Histórico Arquitectónico de CR</t>
  </si>
  <si>
    <t>Tasa de denuncias netas del delito de Infracción Ley Patrimonio nacional arqueológico</t>
  </si>
  <si>
    <t>Tasa de denuncias netas del delito de Infracción Ley Protección al Consumidor</t>
  </si>
  <si>
    <t>Tasa de denuncias netas del delito de Infracción Ley Regulación del Fumado</t>
  </si>
  <si>
    <t>Tasa de denuncias netas del delito de Infracción Ley Venta de licores</t>
  </si>
  <si>
    <t>Tasa de denuncias netas del delito de Infracción Ley zona marítimo terrestre</t>
  </si>
  <si>
    <t>Tasa de denuncias netas del delito de Infracción Ley de Transformación del Instituto de Desarrollo Agrario (IDA)</t>
  </si>
  <si>
    <t>Tasa de denuncias netas del delito de Infracción Ley del Servicio de parques nacionales</t>
  </si>
  <si>
    <t>Tasa de denuncias netas del delito de Infracción Ley de Servicios de Seguridad Privada</t>
  </si>
  <si>
    <t>Tasa de denuncias netas del delito de Infracción Ley Orgánica del Sistema Bancario Nacional</t>
  </si>
  <si>
    <t>Tasa de denuncias netas del delito de CONTRAVENCIONES</t>
  </si>
  <si>
    <t>Tasa de denuncias netas del delito de NO DELITOS</t>
  </si>
  <si>
    <t>Tasa de denuncias netas del delito de Averiguar desaparición</t>
  </si>
  <si>
    <t>Tasa de denuncias netas del delito de Averiguar muerte</t>
  </si>
  <si>
    <t>Tasa de denuncias netas del delito de Suicidio</t>
  </si>
  <si>
    <t>Tasa de denuncias netas del delito de Suicidio (tentativa de)</t>
  </si>
  <si>
    <t>Tasa de denuncias netas del delito de Hecho atípico</t>
  </si>
  <si>
    <t>Tasa de denuncias netas del delito de Consumo de droga</t>
  </si>
  <si>
    <t>Tasa de denuncias netas del delito de Hallazgo de droga</t>
  </si>
  <si>
    <t>Tasa de denuncias netas del delito de Lesiones accidentales</t>
  </si>
  <si>
    <t>Tasa de denuncias netas del delito de Muerte accidental</t>
  </si>
  <si>
    <t>Tasa de denuncias netas del delito de Ignorado</t>
  </si>
  <si>
    <t>Tasa de denuncias netas del delito de Otros delitos</t>
  </si>
  <si>
    <t>Código</t>
  </si>
  <si>
    <t>de la base</t>
  </si>
  <si>
    <t>Fo V</t>
  </si>
  <si>
    <t>Nombre de la base</t>
  </si>
  <si>
    <t>Nombre del Indicador</t>
  </si>
  <si>
    <t>Tipo</t>
  </si>
  <si>
    <t>Definición Conceptual</t>
  </si>
  <si>
    <t>Fórmula de Cálculo</t>
  </si>
  <si>
    <t>Interpretación</t>
  </si>
  <si>
    <t>Unidad de
 Medida</t>
  </si>
  <si>
    <t>Desagregación</t>
  </si>
  <si>
    <t>Periodicidad</t>
  </si>
  <si>
    <t>Fuente</t>
  </si>
  <si>
    <t>Disponibildad
 (desde/hasta)</t>
  </si>
  <si>
    <t>Tipo de operación
 estadística</t>
  </si>
  <si>
    <t>Observaciones</t>
  </si>
  <si>
    <t>1.1</t>
  </si>
  <si>
    <t>P</t>
  </si>
  <si>
    <t>Es el que monto que refleja los movimientos que se presentaron al presupuesto aprobado por LEY en el transcurso del año.</t>
  </si>
  <si>
    <t>Colones</t>
  </si>
  <si>
    <t>Nacional</t>
  </si>
  <si>
    <t>Dato país</t>
  </si>
  <si>
    <t>Anual</t>
  </si>
  <si>
    <t>*Unidad Formulación del presupuesto, Dirección de Planificación, Poder Judicial.</t>
  </si>
  <si>
    <t>Desde año 2000</t>
  </si>
  <si>
    <t>Registro presupuestario</t>
  </si>
  <si>
    <t>R</t>
  </si>
  <si>
    <t>Gasto total en Justicia  o Costo de la Justicia</t>
  </si>
  <si>
    <t>Dato fuente</t>
  </si>
  <si>
    <t>Gasto pago de personal del Poder Judicial o gasto ejecutado</t>
  </si>
  <si>
    <t>1.1 y del 1.1.1 al 1.1.7</t>
  </si>
  <si>
    <t>Muestra el peso relativo que ocupa el costo de la justicia con respecto al gasto público del Gobierno Central</t>
  </si>
  <si>
    <t>(Gasto total en justicia o costo de la justicia / Gasto público del Gobierno Central )*100</t>
  </si>
  <si>
    <t>El gasto total en justicia representa el tanto% del gasto público del Gobierno Central de Costa Rica</t>
  </si>
  <si>
    <t>%</t>
  </si>
  <si>
    <t>Total país y por programa  (programa 926 Dirección, Administ. y Otros Org. de Apoyo Jurisd, programa 927 Servicio Jurisdiccional, programa 928 Servicio Organismo de Investigación Judicial, programa 929 Ministerio Público, programa 930 Defensa Pública,  programa 950 Servicio de Atención y protección a Víctimas y Testigos, 931 Servicio Notariado, 932Servicio Justicia de Tránsito, 942 Aporte local préstamo 1377/OC-CR y el 801 superávitel)</t>
  </si>
  <si>
    <t>*Unidad Formulación del presupuesto, Dirección de Planificación, Poder Judicial.
*Página del Ministerio de Hacienda, Estadísticas de Gobierno Central</t>
  </si>
  <si>
    <t xml:space="preserve">Gobierno Central: Comprende las instituciones que cumplen funciones de gobierno en el ámbito nacional y que no son desconcentradas ni descentralizadas. Está conformado por el Poder Ejecutivo, el Poder Legislativo y sus órganos auxiliares, el Poder Judicial y el Tribunal Supremo de Elecciones. Incluye además algunos títulos presupuestarios que no corresponden a instituciones. </t>
  </si>
  <si>
    <t>1.1.1</t>
  </si>
  <si>
    <t>Muestra el peso relativo que ocupa el gasto en justicia específicamente en el programa presupuestado 926 (costo de la justicia) sobre Dirección, Administración y otros Organismos de apoyo jurisdiccional  con respecto al gasto público del Gobierno Central</t>
  </si>
  <si>
    <t>(Gasto en justicia del programa 926 Dirección, Administ. y Otros Org. de Apoyo Jurisdiccional  / Gasto público del Gobierno Central)*100</t>
  </si>
  <si>
    <t>El gasto en justicia específicamente en el programa presupuestado 926 (costo de la justicia) Dirección, Administración y otros Organismos de apoyo jurisdiccional representa el tanto% del gasto público del Gobiero Central de Costa Rica</t>
  </si>
  <si>
    <t>Dato País por programa</t>
  </si>
  <si>
    <t>Al programa 926 “Dirección, Administración y Otros Órganos de Apoyo” se le imputan rubros de carácter institucional que en razón de su función debe asumir, como lo son los alquileres de edificios, prestaciones legales, servicios médicos, seguros, seguridad , limpieza  y mantenimiento de los edificios, servicios de tecnología, servicios que brinda la Dirección de Gestión Humana, servicios de recepción de documentos, servicios de apoyo administrativo, como los que brinda la Dirección Ejecutiva y la Dirección de Planificación.</t>
  </si>
  <si>
    <t>1.1.2</t>
  </si>
  <si>
    <t>Muestra el peso relativo que ocupa el gasto en justicia específicamente en el programa presupuestado 927 (costo de la justicia) sobre Servicio Jurisdiccional con respecto al gasto público del Gobierno Central</t>
  </si>
  <si>
    <t>(Gasto en justicia del programa 927 Servicio Jurisdiccional / Gasto público del Gobierno Central)*100</t>
  </si>
  <si>
    <t>El gasto en justicia específicamente en el programa presupuestado 927 (costo de la justicia) Servicio Jurisdiccional representa el tanto% del gasto público del Gobiero Central de Costa Rica</t>
  </si>
  <si>
    <t>1.1.3</t>
  </si>
  <si>
    <t>Muestra el peso relativo que ocupa el gasto en justicia específicamente en el programa presupuestado 928 (costo de la justicia) sobre Servicio Organismo de Investigación Judicial con respecto al gasto público del Gobierno Central</t>
  </si>
  <si>
    <t>(Gasto en justicia del programa 928 Servicio Organismo de Investigación Judicial / Gasto público del Gobierno Central)*100</t>
  </si>
  <si>
    <t>El gasto en justicia específicamente en el programa presupuestado 928 (costo de la justicia) Servicio Organismo de Investigación Judicial representa el tanto% del gasto público del Gobiero Central de Costa Rica</t>
  </si>
  <si>
    <t>1.1.4</t>
  </si>
  <si>
    <t>Muestra el peso relativo que ocupa el gasto en justicia específicamente en el programa presupuestado 929 (costo de la justicia) sobre Ministerio Público con respecto al gasto público del Gobierno Central</t>
  </si>
  <si>
    <t>(Gasto en justicia del programa 929 Ministerio Público / Gasto público del Gobierno Central)*100</t>
  </si>
  <si>
    <t>El gasto en justicia específicamente en el programa presupuestado 929 (costo de la justicia) Ministerio Público representa el tanto% del gasto público del Gobiero Central de Costa Rica</t>
  </si>
  <si>
    <t>1.1.5</t>
  </si>
  <si>
    <t>Muestra el peso relativo que ocupa el gasto en justicia específicamente en el programa presupuestado 930 (costo de la justicia) sobre Defensa Pública con respecto al gasto público del Gobierno Central</t>
  </si>
  <si>
    <t>(Gasto en justicia del programa 930 Defensa Pública / Gasto público del Gobierno Central)*100</t>
  </si>
  <si>
    <t>El gasto en justicia específicamente en el programa presupuestado 930 (costo de la justicia) Defensa Pública representa el tanto% del gasto público del Gobiero Central de Costa Rica</t>
  </si>
  <si>
    <t>1.1.6</t>
  </si>
  <si>
    <t>Muestra el peso relativo que ocupa el gasto en justicia específicamente en el programa presupuestado 950 (costo de la justicia) sobre Servicio de Atención y Protección a Víctimas y Testigos con respecto al gasto público del Gobierno Central</t>
  </si>
  <si>
    <t>(Gasto en justicia del programa 950 Servicio de Atención y Protección a Víctimas y Testigos / Gasto público del Gobierno Central)*100</t>
  </si>
  <si>
    <t>El gasto en justicia específicamente en el programa presupuestado 950 (costo de la justicia) Servicio de Atención y Protección a Víctimas y Testigos representa el tanto% del gasto público del Gobiero Central de Costa Rica</t>
  </si>
  <si>
    <t>Desde año 2012</t>
  </si>
  <si>
    <t>1.1.7</t>
  </si>
  <si>
    <t>Muestra el peso relativo que ocupa el gasto en justicia de los programas  931 Servicio Notariado, 932 Servicio Justicia de Tránsito, 942 Aporte local préstamo 1377/OC-CR y el 801 superávit  con respecto al gasto público del Gobierno Central</t>
  </si>
  <si>
    <t>(Gasto en justicia de los programas 931 Servicio Notariado + 932 Servicio Justicia de Tránsito + 942 Aporte local préstamo 1377/OC-CR  +  801 superávit / Gasto público del Gobierno Central)*100</t>
  </si>
  <si>
    <t>El gasto en justicia específicamente en los programas  931 Servicio Notariado, 932Servicio Justicia de Tránsito, 942 Aporte local préstamo 1377/OC-CR y el 801 superávitel  representa el tanto% del gasto público del Gobiero Central de Costa Rica</t>
  </si>
  <si>
    <t>2000 y del 2004 al 2014</t>
  </si>
  <si>
    <t>Muestra el gasto en justicia en colones por habitante de C.R.</t>
  </si>
  <si>
    <t>Gasto total en Justicia (Costo de la Justicia) / Población total de Costa Rica</t>
  </si>
  <si>
    <t>El monto en colones del gasto en justicia por habitante de Costa Rica anual es de xx</t>
  </si>
  <si>
    <t>*Unidad Formulación del presupuesto, Dirección de Planificación, Poder Judicial.
*Instituto Nacional de Estadística y Censos</t>
  </si>
  <si>
    <t>Muestra el gasto en justicia en dólaress por habitante de C.R.</t>
  </si>
  <si>
    <t>Indicador: Gasto en justicia en colones por habitante / Tipo de cambio (compra al 1º de julio de cada año)</t>
  </si>
  <si>
    <t>El monto en dólares del gasto en justicia por habitante de Costa Rica anual es de xx</t>
  </si>
  <si>
    <t>Dólares</t>
  </si>
  <si>
    <t>*Unidad Formulación del presupuesto, Dirección de Planificación, Poder Judicial.
*Instituto Nacional de Estadística y Censos
*Tipo de Cambio del Banco Central</t>
  </si>
  <si>
    <t>Se calcula con el tipo de cambio (compra al 1º de julio de cada año)</t>
  </si>
  <si>
    <t>1.2.1</t>
  </si>
  <si>
    <t>Muestra el peso relativo que ocupa el programa presupuestado 926 sobre Dirección, Administración y otros Organismos de apoyo jurisdiccional  con respecto al gasto total en justicia (costo de la justicia)</t>
  </si>
  <si>
    <t>(Gasto en justicia del programa 926 Dirección, Administ. y Otros Org. de Apoyo Jurisdiccional / Gasto total en justicia)*100</t>
  </si>
  <si>
    <t>El costo en justicia específicamente en el programa presupuestado 926 Dirección, Administración y otros Organismos de apoyo jurisdiccional representa el tanto% del gasto total en justicia del Poder Judicial en Costa Rica</t>
  </si>
  <si>
    <t>1.2.2</t>
  </si>
  <si>
    <t>Muestra el peso relativo que ocupa el programa presupuestado 927 sobre Servicio Jurisdiccional con respecto al gasto total en justicia (costo de la justicia).</t>
  </si>
  <si>
    <t>(Gasto en justicia del programa 927 Servicio Jurisdiccional / 
Gasto total en justicia)*100</t>
  </si>
  <si>
    <t>El costo en justicia específicamente en el programa presupuestado 927 Servicio Jurisdiccional representa el tanto% del gasto total en justicia del Poder Judicial en Costa Rica</t>
  </si>
  <si>
    <t>1.2.3</t>
  </si>
  <si>
    <t>Muestra el peso relativo que ocupa el programa presupuestado 928  sobre Servicio Organismo de Investigación Judicial con respecto al gasto total en justicia (costo de la justicia).</t>
  </si>
  <si>
    <t>(Gasto en justicia del programa 928 Servicio Organismo de Investigación Judicial / Gasto total en justicia)*100</t>
  </si>
  <si>
    <t>El costo en justicia específicamente en el programa presupuestado 928 Servicio Organismo de Investigación Judicial representa el tanto% del gasto total en justicia del Poder Judicial en Costa Rica</t>
  </si>
  <si>
    <t>1.2.4</t>
  </si>
  <si>
    <t>Muestra el peso relativo que ocupa el programa presupuestado 929 sobre Ministerio Público con respecto al gasto total en justicia (costo de la justicia).</t>
  </si>
  <si>
    <t>(Gasto en justicia del programa 929 Ministerio Público / Gasto total en justicia)*100</t>
  </si>
  <si>
    <t>El costo en justicia específicamente en el programa presupuestado 929 Ministerio Público representa el tanto% del gasto total en justicia del Poder Judicial en Costa Rica</t>
  </si>
  <si>
    <t>1.2.5</t>
  </si>
  <si>
    <t>Muestra el peso relativo que ocupa el programa presupuestado 930 sobre Defensa Pública con respecto al gasto total en justicia (costo de la justicia).</t>
  </si>
  <si>
    <t>(Gasto en justicia del programa 930 Defensa Pública / Gasto total en justicia)*100</t>
  </si>
  <si>
    <t>El costo en justicia específicamente en el programa presupuestado 930 Defensa Pública representa el tanto% del gasto total en justicia del Poder Judicial en Costa Rica</t>
  </si>
  <si>
    <t>1.2.6</t>
  </si>
  <si>
    <t>% Del costo del programa 950 Servicio de Atención y Protección a Víctimas y testigos respecto del costo de la justicia</t>
  </si>
  <si>
    <t>Muestra el peso relativo que ocupa el programa presupuestado 950 sobre Servicio de Atención y Protección a Víctimas y Testigos con respecto al gasto total en justicia (costo de la justicia).</t>
  </si>
  <si>
    <t>(Gasto en justicia del programa 950 Servicio de Atención y Protección a Víctimas y Testigos  / Gasto total en justicia)*100</t>
  </si>
  <si>
    <t>El costo en justicia específicamente en el programa presupuestado 950 Servicio de Atención y Protección a Víctimas y Testigos representa el tanto% del gasto total en justicia del Poder Judicial en Costa Rica</t>
  </si>
  <si>
    <t>1.2.7</t>
  </si>
  <si>
    <t>Muestra el peso relativo que ocupan los programas  931 Servicio Notariado, 932 Servicio Justicia de Tránsito, 942 Aporte local préstamo 1377/OC-CR y el 801 superávit  con respecto al gasto total en justicia (costo de la justicia).</t>
  </si>
  <si>
    <t>(Gasto en justicia de los programas 931 Servicio Notariado + 932 Servicio Justicia de Tránsito + 942 Aporte local préstamo 1377/OC-CR  +  801 superávit  / Gasto total en justicia)*100</t>
  </si>
  <si>
    <t>El costo en justicia específicamente en los programas  931 Servicio Notariado, 932Servicio Justicia de Tránsito, 942 Aporte local préstamo 1377/OC-CR y el 801 superávit representa el tanto% del gasto total en justicia del Poder Judicial en Costa Rica</t>
  </si>
  <si>
    <t>1.3</t>
  </si>
  <si>
    <t>Muestra el peso relativo que ocupa el gasto total en justicia (costo de la justicia)  con respecto a los ingresos corrientes del Gobierno Central de Costa Rica</t>
  </si>
  <si>
    <t>(Gasto total en Justicia (Costo de la Justicia) / Ingresos Corrientes del Gobierno Central)*100</t>
  </si>
  <si>
    <t>El gasto total en justicia (costo de la justicia) representa el tanto% de los ingresos corrientes del gobierno central de Costa Rica</t>
  </si>
  <si>
    <t xml:space="preserve">Ingresos corrientes: Estimación inicial Ley de presupuesto, contiene solo lo recaudado mediante impuestos
Gobierno Central: Comprende las instituciones que cumplen funciones de gobierno en el ámbito nacional y que no son desconcentradas ni descentralizadas. Está conformado por el Poder Ejecutivo, el Poder Legislativo y sus órganos auxiliares, el Poder Judicial y el Tribunal Supremo de Elecciones. Incluye además algunos títulos presupuestarios que no corresponden a instituciones. </t>
  </si>
  <si>
    <t>1.4</t>
  </si>
  <si>
    <t>Muestra el peso relativo que ocupa el presupuesto aprobado para Poder Judicial con respecto a los ingresos corrientes del Gobierno Central de Costa Rica</t>
  </si>
  <si>
    <t>(Presupuesto aprobado para el Poder Judicial por la Asamblea Legislativa / Ingresos Corrientes del Gobierno Central)*100</t>
  </si>
  <si>
    <t>El presupuesto aprobado para el Poder Judicial de Costa Rica representa el tanto% de los ingresos corrientes del Gobierno Central</t>
  </si>
  <si>
    <t xml:space="preserve">Presupuesto inicial o presupuesto formulado
Gobierno Central: Comprende las instituciones que cumplen funciones de gobierno en el ámbito nacional y que no son desconcentradas ni descentralizadas. Está conformado por el Poder Ejecutivo, el Poder Legislativo y sus órganos auxiliares, el Poder Judicial y el Tribunal Supremo de Elecciones. Incluye además algunos títulos presupuestarios que no corresponden a instituciones. </t>
  </si>
  <si>
    <t>1.5</t>
  </si>
  <si>
    <t>Muestra el porcentaje de variación del presupuesto actual del Poder Judicial con respecto al presupuesto aprobado por la Asamblea Legislativa</t>
  </si>
  <si>
    <t>((Presupuesto actual del Poder Judicial / Presupuesto aprobado para el Poder Judicial  por la Asamblea Legislativa )-1)*100</t>
  </si>
  <si>
    <t>La variación porcentual del presupuesto actual del Poder Judicial de Costa Rica (aumentó ó disminuyó) en un tanto% con respecto al presupuesto inicial aprobado por la Asamblea Legislativa</t>
  </si>
  <si>
    <t>1.6 y del 1.6.1 al 1.6.7</t>
  </si>
  <si>
    <t>Muestra el costo promedio en justicia por habitante por día</t>
  </si>
  <si>
    <t>(gasto total en justicia o costo de la justicia / población total de Costa Rica) / 365 días</t>
  </si>
  <si>
    <t>Muestra el costo promedio en justicia por habitante por día por programa</t>
  </si>
  <si>
    <t>(gasto total en justicia o costo de la justicia del programa 926 / población total de Costa Rica) / 365 días</t>
  </si>
  <si>
    <t>(gasto total en justicia o costo de la justicia del programa 927 / población total de Costa Rica) / 365 días</t>
  </si>
  <si>
    <t>(gasto total en justicia o costo de la justicia del programa 928 / población total de Costa Rica) / 365 días</t>
  </si>
  <si>
    <t>(gasto total en justicia o costo de la justicia del programa 929 / población total de Costa Rica) / 365 días</t>
  </si>
  <si>
    <t>(gasto total en justicia o costo de la justicia del programa 930 / población total de Costa Rica) / 365 días</t>
  </si>
  <si>
    <t>Costo promedio diario de justicia por habitante programa 950 Servicio de Atención y protección a Víctimas y Testigos</t>
  </si>
  <si>
    <t>(gasto total en justicia o costo de la justicia del programa 950 / población total de Costa Rica) / 365 días</t>
  </si>
  <si>
    <t>(gasto total en justicia o costo de la justicia de los programas 931, 932, 942, 801  / población total de Costa Rica) / 365 días</t>
  </si>
  <si>
    <t>1.7.1</t>
  </si>
  <si>
    <t>Muestra el porcentaje de participación del presupuesto aprobado del Poder Judicial con respeto al presupuesto formulado del Gobierno Central</t>
  </si>
  <si>
    <t>(Presupuesto aprobado para el Poder Judicial  por la Asamblea Legislativa / Presupuesto formulado del Gobierno Central)*100</t>
  </si>
  <si>
    <t>El porcentaje de participación del presupuesto aprobado del Poder Judicial por la Asamblea Legislativa representa el tanto% del presupuesto formulado del Gobierno Central</t>
  </si>
  <si>
    <t>1.7.2</t>
  </si>
  <si>
    <t>Muestra el porcentaje de participación del presupuesto gastado del Poder Judicial con respeto al presupuesto formulado del Gobierno Central</t>
  </si>
  <si>
    <t>(Gasto total en justicia / Presupuesto formulado del Gobierno Central)*100</t>
  </si>
  <si>
    <t>El porcentaje de participación del presupuesto gastado del Poder Judicial representa el tanto% del presupuesto formulado del Gobierno Central</t>
  </si>
  <si>
    <t>2.1</t>
  </si>
  <si>
    <t>Muestra el costo promedio en colones de las causas atendidas en el Poder Judicial  durante el año (las que siguen activas y las terminadas)</t>
  </si>
  <si>
    <t>(Gasto total en justicia * % de casos atendidos respecto del circulante atendido)</t>
  </si>
  <si>
    <t>*Unidad Formulación del presupuesto, Dirección de Planificación, Poder Judicial.
*Subproceso de Estadística, Dirección de Planificación, Poder Judicial</t>
  </si>
  <si>
    <t>Incluye las causas atendidas y terminadas de I y II Instancia, Instancia Única, OIJ, Ciencias Forences, Defensa Pública, Ministerio Público y el Programa de Atención y Protección a Víctimas y Testigos). No se cuenta con los datos del circulante final del OIJ, y para los casos terminados se hizo una estimación entre los años 2008 al 2012 por datos no disponibles. Los datos de la Defensa Pública  no se tienen del 2000 al 2010 en ninguna de las variables del balance y el programa de Atención y Protección a víctimas y testigos comienza a partir del 2012. El circulante final incluye tanto los casos en trámite como los suspendidos o con resoluciones provisionales.
*El  % de casos atendidos respecto del circulante atendido) se calcula de la siguiente manera: Circulante Final / Circulante Final + Total de casos terminados</t>
  </si>
  <si>
    <t>2.1.1</t>
  </si>
  <si>
    <t>Muestra el costo promedio en colones de las causas entradas en el Poder Judicial durante el año</t>
  </si>
  <si>
    <t>(Gasto total en justicia * % de casos entrados respecto del circulante)</t>
  </si>
  <si>
    <t>Incluye las causas entradas de I y II Instancia, Instancia Única, OIJ, Ciencias Forenses, Defensa Pública, Ministerio Público y el Programa de Atención y Protección a Víctimas y Testigos)
Los datos de entrados de la Defensa Pública  no se tienen del 2000 al 2010 y el programa de atención y protección a víctimas comienza a partir del 2012. La materia laboral incluye legajos entrados a partir del 2010 y la materia Contenciosa Administrativa incluye legajos entrados a partir  del 2012. Los reactivados en civil y cobro se visualizan a partir del 2018 con la entrada en vigencia de la Reforma Procesal Civil.
El gasto total en justicia se asigna según el peso porcentual de lo correspondiente a los casos entrados, reentrados, reactivados y testimonios de piezas en el año.
*El  % de casos entrados respecto del circulante se calcula de la siguiente manera: Total de casos entrados + reentrados + casos reactivados + Testimonios de piezas - Terminados - Inactivos / Circulante Final</t>
  </si>
  <si>
    <t>Muestra el costo promedio en colones de las causas terminadas en el Poder Judicial durante el año</t>
  </si>
  <si>
    <t>(Gasto total en justicia * % de casos terminados respecto del circulante)</t>
  </si>
  <si>
    <t>*El  % de casos terminados respecto del circulante se calcula de la siguiente manera: Total de casos terminados / (Total de casos terminados + Circulante Final)</t>
  </si>
  <si>
    <t>Muestra el costo promedio en dólares de las causas terminadas en el Poder Judicial durante el año</t>
  </si>
  <si>
    <t>Indicador: Costo promedio en dólares de causas terminadas en el Poder Judicial durante el año / Tipo de cambio (compra al 1º de julio de cada año)</t>
  </si>
  <si>
    <t>El Costo promedio de las causas terminadas en el Poder Judicial  durante el año es de $ xx dólares</t>
  </si>
  <si>
    <t>*Unidad Formulación del presupuesto, Dirección de Planificación, Poder Judicial.
*Subproceso de Estadística, Dirección de Planificación, Poder Judicial
*tipo de Cambio del Banco Central (compra al 1º de julio de cada año)</t>
  </si>
  <si>
    <t>2.1.2.c</t>
  </si>
  <si>
    <t>Muestra el costo promedio por expediente terminado durante el año en colones. Se refiere a la productividad de los recursos económicos asociados a las causas terminadas, independientemente de la materia y de la instancia.</t>
  </si>
  <si>
    <t>Indicador: Costo promedio por expediente terminado en el Poder Judicial durante el año en colones   / Total de casos terminados en I y II Instancia, OIJ, Ciencias Forenses, DP y APVT</t>
  </si>
  <si>
    <t>Incluye las causas terminadas (todos los motivos de término incluyendo las incompetencias) de I y II Instancia, OIJ, Ciencias Forenses, Defensa Pública, Ministerio Público y el Programa de Atención y Protección a Víctimas y Testigos). Para los casos terminados del OIJ se hizo una estimación entre los años 2008 al 2012 por datos no disponibles. Los datos de la Defensa Pública  no se tienen del 2000 al 2010 en ninguna de las variables del balance y el programa de Atención y Protección a víctimas y testigos comienza a partir del 2012.
El gasto total en justicia se asigna según el peso porcentual de lo correspondiente a los casos terminados en el año.</t>
  </si>
  <si>
    <t>Muestra el costo promedio por expediente terminado durante el año en dólares. Se refiere a la productividad de los recursos económicos asociados a las causas terminadas, independientemente de la materia y de la instancia.</t>
  </si>
  <si>
    <t>Indicador: Costo promedio en dólares por expediente terminado en el Poder Judicial durante el año / Tipo de cambio (compra al 1º de julio de cada año)</t>
  </si>
  <si>
    <t>El Costo promedio por expediente terminado en el Poder Judicial  durante el año es de $ xx dólares</t>
  </si>
  <si>
    <t>2.1.2.1</t>
  </si>
  <si>
    <t>Muestra el costo promedio de las causas terminadas durante el año del programa 927 Servicio Jurisdiccional con respecto al gasto total en justicia del programa 926</t>
  </si>
  <si>
    <t>% Del costo del programa 927 Servicio Jurisdiccional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</si>
  <si>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Distribuye porcentualmente el costo del programa 926 gastos administrativos a los demás programas</t>
  </si>
  <si>
    <t>2.1.2.2</t>
  </si>
  <si>
    <t>Muestra el costo promedio de las causas terminadas durante el año del programa 928 sobre Servicio Organismo de Investigación Judicial con respecto al gasto total en justicia del programa 926</t>
  </si>
  <si>
    <t>% Del costo del programa 928 Servicio Organismo de Investigación Judicial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</si>
  <si>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2.1.2.3</t>
  </si>
  <si>
    <t>Muestra el costo promedio de las causas terminadas durante el año del programa 929 sobre Ministerio Público con respecto al gasto total en justicia del programa 926</t>
  </si>
  <si>
    <t>% Del costo del programa 929 Sobre el Ministerio Público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</si>
  <si>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2.1.2.4</t>
  </si>
  <si>
    <t>Muestra el costo promedio de las causas terminadas durante el año del programa 930 Defensa Pública con respecto al gasto total en justicia del programa 926</t>
  </si>
  <si>
    <t>% Del costo del programa 930 Sobre Defensa Pública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</si>
  <si>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2.1.2.5</t>
  </si>
  <si>
    <t>Muestra el costo promedio de las causas terminadas durante el año del programa 950 sobre Servicio de Atención y Protección a Víctimas y Testigos con respecto al gasto total en justicia del programa 926</t>
  </si>
  <si>
    <t>% Del costo del programa 950 Sobre Atención y Proteccióna a Víctimas y Testigos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</si>
  <si>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2.1.2.6</t>
  </si>
  <si>
    <t>Muestra el costo promedio de las causas terminadas durante el año de los programas  931 Servicio Notariado, 932 Servicio Justicia de Tránsito, 942 Aporte local préstamo 1377/OC-CR y el 801 superávit  con respecto al gasto total en justicia del programa 926</t>
  </si>
  <si>
    <t>% Del costo de los programas  931 Servicio Notariado, 932 Servicio Justicia de Tránsito, 942 Aporte local préstamo 1377/OC-CR y el 801 superávit  respecto del costo de la justicia * costo promedio por expediente terminado en el Poder Judicial durante el año en colones + ( % Del costo del programa 926 Dirección, Adm. Y otros Org. de Apoyo Jurisd respecto del costo de la justicia *Costo promedio por expedeinte terminado en el Poder Judicial durante el año en colones /# programas vigentes en el año)</t>
  </si>
  <si>
    <t>2.2.1 al 2.2.14</t>
  </si>
  <si>
    <t>Estimación porcentual del costo total de justicia del programa 927 Servicio Jurisdiccional en esta materia con respecto al costo total en justicia del programa 927</t>
  </si>
  <si>
    <t>(Gasto en justicia del programa 927 Servicio Jurisdiccional desglosado para esta materia / el total del gasto en justicia del programa 927 Servicio Jurisdiccional) *100</t>
  </si>
  <si>
    <t xml:space="preserve">La estimación porcentual del costo total de justicia del programa 927 Servicio Jurisdiccional en esta materia es el tanto %  del costo total en justicia del programa 927 </t>
  </si>
  <si>
    <t>Dato país por materia</t>
  </si>
  <si>
    <t>Desde año 2009</t>
  </si>
  <si>
    <t>Estimación del costo total de justicia en la carga de trabajo en esta materia con respecto al costo total en justicia</t>
  </si>
  <si>
    <t>(Gasto en justicia del programa 927 Servicio Jurisdiccional desglosado para esta materia / carga de trabajo en esta materia)</t>
  </si>
  <si>
    <t>La estimación del costo total de justicia del programa 927 Servicio Jurisdiccional en esta materia con respecto del costo total en justicia del programa 927 es de ₡xx colones</t>
  </si>
  <si>
    <t>Muestra el peso relativo que ocupa el gasto total en justicia sobre el Producto Interno Bruto a precios de mercado con año base 1991</t>
  </si>
  <si>
    <t>(Gasto total en justicia / PIB a precio de mercado, año base 1991)*100</t>
  </si>
  <si>
    <t>El gasto total en justicia  representa el tanto% del Producto interno bruto de Costa Rica a precio de mercado con año base 1991</t>
  </si>
  <si>
    <t>Dato País</t>
  </si>
  <si>
    <t>*Unidad Formulación del presupuesto, Dirección de Planificación, Poder Judicial.
*Banco Central de Costa Rica</t>
  </si>
  <si>
    <t>2000 al 2014</t>
  </si>
  <si>
    <t>PIB = C + I + G + (X – I): “Bruto” significa que el PIB mide la producción, independientemente de los diversos usos a que esta producción puede ser destinada. La producción puede utilizarse para el consumo inmediato, para la inversión en activos fijos nuevos, acumularse en inventarios o para la sustitución de activos fijos depreciados. Por “Interno” se entiende que el PIB mide la producción que se lleva a cabo dentro de las fronteras del país. En la ecuación del PIB por gasto, el término “exportaciones menos importaciones” es necesario con el fin de anular los gastos en bienes y servicios que no se producen en el país (importaciones) y añadir los bienes y servicios producidos pero no vendidos en el país (exportaciones).</t>
  </si>
  <si>
    <t>Muestra el peso relativo que ocupa el gasto total en justicia sobre el Producto Interno Bruto a precios de mercado nominal con año base 2012</t>
  </si>
  <si>
    <t>(Gasto total en justicia / PIB a precio de mercado nominal, año base 2012)*100</t>
  </si>
  <si>
    <t>El gasto total en justicia  representa el tanto% del Producto interno bruto de Costa Rica a precio de mercado nominal con año base 2012</t>
  </si>
  <si>
    <t>Desde año 2014</t>
  </si>
  <si>
    <t>Muestra el peso relativo que ocupa el gasto toal en justicia sobre el total del presupuesto aactual del Poder Judicial</t>
  </si>
  <si>
    <t>(Gasto total en justicia / Presupuesto actual del Poder Judicial)*100</t>
  </si>
  <si>
    <t>El gasto total en justicia representa el tanto% del presupuesto actual del Poder Judicial</t>
  </si>
  <si>
    <t>Muestra el peso relativo que ocupa el gasto variable del Poder Judicial sobre el gasto total en justicia</t>
  </si>
  <si>
    <t>(Gasto variable del Poder Judicial / Gasto total en justicia)*100</t>
  </si>
  <si>
    <t>El gasto variable del Poder Judicial representa el tanto% del gasto total en justicia del Poder Judicial</t>
  </si>
  <si>
    <t>Gasto Variable: Imputan rubros de carácter institucional que en razón de su función debe asumir, como lo son los alquileres de edificios, prestaciones legales, servicios médicos, seguros, seguridad , limpieza  y mantenimiento de los edificios, servicios de tecnología, servicios que brinda la Dirección de Gestión Humana, servicios de recepción de documentos, servicios de apoyo administrativo, como los que brinda la Dirección Ejecutiva y la Dirección de Planificación.</t>
  </si>
  <si>
    <t>Muestra el peso relativo que ocupa el gasto dedicado al pago de personal judicial sobre el total del gasto total en justicia</t>
  </si>
  <si>
    <t>(Gasto pago del personal del Poder Judicial / Gasto total en justicia)*100</t>
  </si>
  <si>
    <t>El gasto en pago de personal del Poder Judicial representa el tanto% del gasto total en justicia del Poder Judicial</t>
  </si>
  <si>
    <t>Incluye las prestaciones legales</t>
  </si>
  <si>
    <t>5.1.1</t>
  </si>
  <si>
    <t>Muestra el peso relativo que ocupa el gasto dedicado al pago de personal judicial del programa 926 Dirección, Administ. Y otros Org. De Apoyo Jurisd con respecto al gasto en personal del Poder Judicial</t>
  </si>
  <si>
    <t>(Gasto pago del personal en justicia del programa 926 / Gasto en pago de personal del Poder Judicial)*100</t>
  </si>
  <si>
    <t>El gasto dedicado al pago de personal judicial en el programa Dirección, Administ. Y otros Org. de Apoyo Jurisd representa el tanto% del gasto en personal del Poder Judcial</t>
  </si>
  <si>
    <t>5.1.2</t>
  </si>
  <si>
    <t>Muestra el peso relativo que ocupa el gasto dedicado al pago de personal judicial del programa 927 Servicio Jurisdiccional con respecto al gasto en personal del Poder Judicial</t>
  </si>
  <si>
    <t>(Gasto pago del personal en justicia del programa 927 /  Gasto en pago de personal del Poder Judicial)*100</t>
  </si>
  <si>
    <t>El gasto dedicado al pago del personal judicial en el programa Servicio Jurisdiccional representa el tanto% del gasto en personal del Poder Judcial</t>
  </si>
  <si>
    <t>5.1.2.1</t>
  </si>
  <si>
    <t>Muestra el peso relativo que ocupa el gasto dedicado al pago de personal judicial del programa 928 Organismo de Investigación Judicial con respecto al gasto en personal del Poder Judicial</t>
  </si>
  <si>
    <t>(Gasto pago del personal en justicia del programa 928 /  Gasto en pago de personal del Poder Judicial)*100</t>
  </si>
  <si>
    <t>EL gasto dedicado al pago del personal judicial en el programa Organismo de investigación Judicial representa el tanto% del gasto en personal del Poder Judcial</t>
  </si>
  <si>
    <t>5.1.2.2</t>
  </si>
  <si>
    <t>Muestra el peso relativo que ocupa el gasto dedicado al pago de personal judicial del programa 929 Ministerio Público con respecto al gasto en personal del Poder Judicial</t>
  </si>
  <si>
    <t>(Gasto pago del personal en justicia del programa 929 / Gasto en pago de personal del Poder Judicial)*100</t>
  </si>
  <si>
    <t>El gasto dedicado al pago de personal judicial en el programa Ministerio Público representa el tanto% del gasto en personal del Poder Judcial</t>
  </si>
  <si>
    <t>5.1.2.3</t>
  </si>
  <si>
    <t>Muestra el peso relativo que ocupa el gasto dedicado al pago de personal judicial del programa 930 Defensa Pública con respecto al gasto en personal del Poder Judicial</t>
  </si>
  <si>
    <t>(Gasto pago del personal en justicia del programa 930 /  Gasto en pago de personal del Poder Judicial)*100</t>
  </si>
  <si>
    <t>El gasto dedicado al pago del personal judicial en el programa Defensa Pública representa el tanto% del gasto en personal del Poder Judcial</t>
  </si>
  <si>
    <t>5.1.2.4</t>
  </si>
  <si>
    <t>% Gasto dedicado a personal judicial en el programa 950 de Atención y Protección a Víctimas y testigos respecto del costo de la justicia</t>
  </si>
  <si>
    <t>Muestra el peso relativo que ocupa el gasto dedicado al pago de personal judicial del programa 950 Servicio de Atención y protección a víctimas y testigos con respecto al gasto en personal del Poder Judicial</t>
  </si>
  <si>
    <t>(Gasto pago del personal en justicia del programa 950 /  Gasto en pago de personal del Poder Judicial)*100</t>
  </si>
  <si>
    <t>El gasto dedicado al pago del personal judicial en el programa de Atención y Protección a Víctimas y testigos representa el tanto% del gasto en personal del Poder Judcial</t>
  </si>
  <si>
    <t>5.1.2.5</t>
  </si>
  <si>
    <t>Muestra el peso relativo que ocupa el gasto dedicado al pago de personal judicial de los programas 931 Servicio Notariado, 932 Servicio Justicia de Tránsito, 942 Aporte local préstamo 1377/OC-CR y el 801 superávit  con respecto al gasto en personal del Poder Judicial</t>
  </si>
  <si>
    <t>(Gasto pago del personal en justicia de los  programa 931, 932, 942 y 801 /  Gasto en pago de personal del Poder Judicial)*100</t>
  </si>
  <si>
    <t>El gasto dedicado al pago del personal judicial en otros  programas representa el tanto% del gasto en personal del Poder Judcial</t>
  </si>
  <si>
    <t>Tipo de operación estadística</t>
  </si>
  <si>
    <t>dashboard</t>
  </si>
  <si>
    <t>6.1.1</t>
  </si>
  <si>
    <t>E</t>
  </si>
  <si>
    <t>Muestra la relación entre la cantidad de kilometros cuadrados atendidos por cada juez o jueza existente en Costa Rica</t>
  </si>
  <si>
    <t>( La extención territorial de Costa Rica 51100km2 / Total de jueces y juezas ordinarias y extraordinarias)</t>
  </si>
  <si>
    <t>Por cada xx Km2 se cuenta con un juez o jueza para atender procesos judiciales</t>
  </si>
  <si>
    <t>(km2)</t>
  </si>
  <si>
    <t>Registro de personal</t>
  </si>
  <si>
    <t>incluye plazas ordinarias y extraordinarias</t>
  </si>
  <si>
    <t>6.1.2</t>
  </si>
  <si>
    <t>Muestra la relación entre la cantidad de kilometros cuadrados atendidos por cada fiscal o fiscala existente en Costa Rica</t>
  </si>
  <si>
    <t>( La extención territorial de Costa Rica 51100km2 / Total de fiscales y fiscalas ordinarias y extraordinarias)</t>
  </si>
  <si>
    <t>Por cada xx Km2 se cuenta con un fiscal o fiscala para atender procesos judiciales</t>
  </si>
  <si>
    <t>6.1.3</t>
  </si>
  <si>
    <t>Muestra la relación entre la cantidad de kilometros cuadrados atendidos por cada defensor o defensora existente en Costa Rica</t>
  </si>
  <si>
    <t>( La extención territorial de Costa Rica 51100km2 / Total de defensores y defensoras ordinarias y extraordinarias+ Asistencia social ordinaria y extraordinaria)</t>
  </si>
  <si>
    <t>Por cada xx Km2 se cuenta con un defensor o defensora para atender procesos judiciales</t>
  </si>
  <si>
    <t>incluye plazas ordinarias y extraordinarias y asistencia social ordinaria y extraordinaria</t>
  </si>
  <si>
    <t>6.1.4</t>
  </si>
  <si>
    <t>Muestra la relación entre la cantidad de kilometros cuadrados atendidos por cada investigador o investigadora existente en Costa Rica</t>
  </si>
  <si>
    <t>( La extención territorial de Costa Rica 51100km2 / Total de investigadores e investigadoras ordinarias y extraordinarias)</t>
  </si>
  <si>
    <t>Por cada xx Km2 se cuenta con un investigador o investigadora para atender procesos judiciales</t>
  </si>
  <si>
    <t>6.1.5</t>
  </si>
  <si>
    <t>Muestra la relación entre la cantidad de kilometros cuadrados atendidos por especialistas en atención y protección de víctimas y testigos existente en Costa Rica</t>
  </si>
  <si>
    <t>( La extención territorial de Costa Rica 51100km2 / Total de especialistas en atención y protección de víctimas y testigas ordinarias y extraordinarias)</t>
  </si>
  <si>
    <t>Por cada xx Km2 se cuenta con un especialistas en Atención y Protección a Víctimas y Testigos para atender procesos judiciales</t>
  </si>
  <si>
    <t>Desde año 2013</t>
  </si>
  <si>
    <t>6.2.1</t>
  </si>
  <si>
    <t>Muestra la relación entre la cantidad de kilometros cuadrados atendidos por cada tribunal de I Instancia existente en Costa Rica</t>
  </si>
  <si>
    <t>( La extención territorial de Costa Rica 51100km2 / Total de Tribunales de I Instancia)</t>
  </si>
  <si>
    <t>Por cada xx Km2 se cuenta con un tribunal de I  Instancia para atender procesos judiciales</t>
  </si>
  <si>
    <t>Registro estructural</t>
  </si>
  <si>
    <t>6.2.2</t>
  </si>
  <si>
    <t>Muestra la relación entre la cantidad de kilometros cuadrados atendidos por cada fiscalía existente en Costa Rica</t>
  </si>
  <si>
    <t>( La extención territorial de Costa Rica 51100km2 / Total de Fiscalías)</t>
  </si>
  <si>
    <t>Por cada xx Km2 se cuenta con una Fiscalías para atender procesos judiciales</t>
  </si>
  <si>
    <t>6.2.3</t>
  </si>
  <si>
    <t>Muestra la relación entre la cantidad de kilometros cuadrados atendidos por cada Defensa Pública existente en Costa Rica</t>
  </si>
  <si>
    <t>( La extención territorial de Costa Rica 51100km2 / Total de Defensas Públicas)</t>
  </si>
  <si>
    <t>Por cada xx Km2 se cuenta con una Defensas Públicas para atender procesos judiciales</t>
  </si>
  <si>
    <t>6.2.4</t>
  </si>
  <si>
    <t>Muestra la relación entre la cantidad de kilometros cuadrados atendidos por cada delegación existente en Costa Rica</t>
  </si>
  <si>
    <t>( La extención territorial de Costa Rica 51100km2 / Total de Delegaciones)</t>
  </si>
  <si>
    <t>Por cada xx Km2 se cuenta con una Delegación para atender procesos judiciales</t>
  </si>
  <si>
    <t>6.2.5</t>
  </si>
  <si>
    <t>Muestra la relación entre la cantidad de kilometros cuadrados atendidos por cada oficina en atención y protección de víctimas y testigos existente en Costa Rica</t>
  </si>
  <si>
    <t>( La extención territorial de Costa Rica 51100km2 / Total de Oficinas de Atención y Protección a la víctima)</t>
  </si>
  <si>
    <t>Por cada xx Km2 se cuenta con una oficina de Atención y Protección a la Víctima para atender procesos judiciales</t>
  </si>
  <si>
    <t>Muestra la densidad de habitantes por cada juez/a existente en Costa Rica</t>
  </si>
  <si>
    <t>Población total de Costa Rica/Total de jueces y juezas</t>
  </si>
  <si>
    <t>Por cada xx habitantes en Costa Rica se cuenta con una persona juez/a para atender procesos judiciales</t>
  </si>
  <si>
    <t>Cantidad</t>
  </si>
  <si>
    <t>*Unidad Formulación del presupuesto, Dirección de Planificación, Poder Judicial.
*INEC</t>
  </si>
  <si>
    <t>Muestra la relación entre la cantidad de expedientes entrados netos ingresan por cada juez/a existente en Costa Rica</t>
  </si>
  <si>
    <t xml:space="preserve"> Cantidad de Casos Nuevos (entrada neta al Sistema Judicial)/(Total de jueces y juezas de Primera Instancia)</t>
  </si>
  <si>
    <t>Por cada xx expedientes entrados netos  en Costa Rica se cuenta con una persona juez/a para atender la denuncia.</t>
  </si>
  <si>
    <t>*Subproceso de Estadística, Dirección de Planificación, Poder Judicial
*Unidad Formulación del presupuesto, Dirección de Planificación, Poder Judicial.</t>
  </si>
  <si>
    <t>Dato Fuente</t>
  </si>
  <si>
    <t>cantidad</t>
  </si>
  <si>
    <t>Dato paías</t>
  </si>
  <si>
    <t>7.1.1</t>
  </si>
  <si>
    <t>Muestra la relación entre la cantidad de jueces y juezas existentes por cada 100 000 habitantes</t>
  </si>
  <si>
    <t>(Total de jueces y juezas / Población total de Costa Rica)</t>
  </si>
  <si>
    <t>Por cada 100 mil habitantes se cuenta con xx jueces o juezas para atender procesos judiciales</t>
  </si>
  <si>
    <t>*Unidad Formulación del presupuesto, Dirección de Planificación, Poder Judicial.
*Datos de población del INEC</t>
  </si>
  <si>
    <t>7.1.2</t>
  </si>
  <si>
    <t>Muestra la relación entre la cantidad de fiscales y fiscalas existentes por cada 100 000 habitantes</t>
  </si>
  <si>
    <t>(Total de fiscalesy fiscalas ordinarios + total de fiiscales y fiscalas extraordinarios ) / Población total de Costa Rica)</t>
  </si>
  <si>
    <t>Por cada 100 mil habitantes se cuenta con xx fiscales o fiscalas para atender procesos judiciales</t>
  </si>
  <si>
    <t>incluye plazas ordinarias y extraordinarias de Fiscales Adjuntos, Fiscal General</t>
  </si>
  <si>
    <t>7.1.3</t>
  </si>
  <si>
    <t>Muestra la relación entre la cantidad de defensores y defensoras publicos existentes por cada 100 000 habitantes</t>
  </si>
  <si>
    <t>(Total de defensores y defensoras ordinarias y extraordinarias+ Asistencia social ordinaria y extraordinaria) / Población total de Costa Rica)</t>
  </si>
  <si>
    <t>Por cada 100 mil habitantes se cuenta con xx defensores y defensoras para atender procesos judiciales</t>
  </si>
  <si>
    <t>7.1.4</t>
  </si>
  <si>
    <t>Muestra la relación entre la cantidad de investigadores e investigadoras existentes por cada 100 000 habitantes</t>
  </si>
  <si>
    <t>(Total de investigadores e investigadoras ordinarias y extraordinarias) / Población total de Costa Rica)</t>
  </si>
  <si>
    <t>Por cada 100 mil habitantes se cuenta con xx investigadores e investigadoras para atender procesos judiciales</t>
  </si>
  <si>
    <t>7.1.5</t>
  </si>
  <si>
    <t>Muestra la relación entre la cantidad de especialistas en atención y proteccióna a la víctima existentes por cada 100 000 habitantes</t>
  </si>
  <si>
    <t>(Total de especialistas en atención y protección de víctimas y testigas ordinarias y extraordinarias)/ Población total de Costa Rica)</t>
  </si>
  <si>
    <t>Por cada 100 mil habitantes se cuenta con xx especialistas en atención y protección a la víctima para atender procesos judiciales</t>
  </si>
  <si>
    <t>7.1.6</t>
  </si>
  <si>
    <t>Muestra la relación entre la cantidad de personal auxiliar del ámbito jurisdiccional existente por cada 100 000 habitantes</t>
  </si>
  <si>
    <t>(Total de personal administrativo ordinario + Total de personal administrativo extraordinario) / Población total de Costa Rica)* 100 000</t>
  </si>
  <si>
    <t>Por cada 100 mil habitantes se cuenta con xx personal auxiliar del ámbito jurisdiccional  para atender procesos judiciales</t>
  </si>
  <si>
    <t>7.1.7</t>
  </si>
  <si>
    <t>Muestra la relación entre la cantidad de abogados existentes por cada 100 000 habitantes</t>
  </si>
  <si>
    <t>(Total de abogados / Población total de Costa Rica)*100 000</t>
  </si>
  <si>
    <t>Por cada 100 mil habitantes se cuenta con xx abogados para atender procesos judiciales</t>
  </si>
  <si>
    <t>*Colegio de Abogados de Costa Rica
*Instituto Nacional de Estadística y Censos</t>
  </si>
  <si>
    <t>8.1</t>
  </si>
  <si>
    <t>Muestra la carga de trabajo por juez o jueza en I instancia, II Instancia, Instancia única y casación</t>
  </si>
  <si>
    <t>(carga de trabajo en I Instancia Jurisdiccional + carga de trabajo en única instancia+ carga de trabajo en II Instancia+carga de trabajo en Casación)/Total de jueces y juezas</t>
  </si>
  <si>
    <t>La carga de trabajo en I Instancia, II Instancia, Instancia única y Casación es de xx expedientes por juez o jueza</t>
  </si>
  <si>
    <t xml:space="preserve">*Subproceso de Estadística, Dirección de Planificación, Poder Judicial
*Unidad Formulación del presupuesto, Dirección de Planificación, Poder Judicial.
</t>
  </si>
  <si>
    <t>Registro estadístico</t>
  </si>
  <si>
    <t>8.1.1</t>
  </si>
  <si>
    <t>Muestra la carga de trabajo por juez o jueza en II Instancia y casación</t>
  </si>
  <si>
    <t>(carga de trabajo en II Instancia+carga de trabajo en Casación)/(Total de jueces y juezas de Segunda Instancia + Total de magistrados y magistradas de Instancia Superior)</t>
  </si>
  <si>
    <t>La carga de trabajo en II Instancia y Casación es de xx expedientes por juez o jueza</t>
  </si>
  <si>
    <t>8.1.2</t>
  </si>
  <si>
    <t>Muestra la carga de trabajo por juez o jueza de I Instancia jurisdiccional</t>
  </si>
  <si>
    <t>(carga de trabajo en I Instancia Jurisdiccional ) / Total de jueces y juezas de Primera Instancia</t>
  </si>
  <si>
    <t>La carga de trabajo en I Instancia jurisdiccional es de xx expedientes por juez o jueza</t>
  </si>
  <si>
    <t>no incluye MP y MP penal juvenil</t>
  </si>
  <si>
    <t>8.1.2.1</t>
  </si>
  <si>
    <t>Muestra la carga de trabajo por fiscal o fiscala en el Ministerio Público (adultos y Penal Juvenil)</t>
  </si>
  <si>
    <t>(Carga de trabajo del Ministerio Público + Carga de trabajo de Fiscalías Penales Juveniles) / (Total de fiscales y fiscalas ordinarios + Total de fiscales y fiscalas extraordinarios )</t>
  </si>
  <si>
    <t>La carga de trabajo en Fiscalías y Fiscalías Penales Juveniles es de xx expedientes por fiscal o fiscala</t>
  </si>
  <si>
    <t>8.1.3</t>
  </si>
  <si>
    <t>Muestra la carga de trabajo por defensor o defensora en la Defensa Pública</t>
  </si>
  <si>
    <t>Carga de trabajo de Defensa Pública (penal y Laboral) /
(Total de defensores y defensoras ordinarios + Total de defensores y defensoras extraordinarias + Total de Asistencia social ordinaria + Total de Asistencia social extraordinaria)</t>
  </si>
  <si>
    <t>La carga de trabajo en la Defensa Pública (materi penal y laboral) es de xx expedientes por defensor o defensora</t>
  </si>
  <si>
    <t>8.1.4</t>
  </si>
  <si>
    <t>Muestra la carga de trabajo por investigador o investigadora en el Organismo de Investigación Judicial</t>
  </si>
  <si>
    <t>Carga de trabajo del OIJ) / (Total de investigadores (as) ordinarios + Total de investigadores (as) extraordinarias)</t>
  </si>
  <si>
    <t>La carga de trabajo en el Organismo de Investigación Judicial es de xx expedientes por investigador o investigadora</t>
  </si>
  <si>
    <t>No se cuenta con el circulante del OIJ, por lo tanto no se puede calcular la carga de trabajo</t>
  </si>
  <si>
    <t>Muestra la carga de trabajo en el Poder Judicial</t>
  </si>
  <si>
    <t>Carga de trabajo en I Instancia Jurisdiccional + Ministerio Público + Carga de trabajo en única instancia + Carga de trabajo en II Instancia + Carga de trabajo en Casación + Carga de trabajo en OIJ + Carga de trabajo en Ciencias Forenses + Carga de trabajo en Defensa Pública (Penal y Laboral) + Carga de trabajo en Atención y Protección a víctimas y testigos</t>
  </si>
  <si>
    <t>La carga de trabajo en el Poder Judicial es de xx expedientes</t>
  </si>
  <si>
    <t xml:space="preserve">*Subproceso de Estadística, Dirección de Planificación, Poder Judicial
</t>
  </si>
  <si>
    <t>Muestra la carga de trabajo en I Instancia Jurisdiccional</t>
  </si>
  <si>
    <t>Carga de trabajo en I Instancia materias no penales + Carga de trabajo en materia penal + Carga de trabajo en materia penal juvenil - Carga de trabajo en materia Fiscalías - Carga de trabajo en materia Fiscalías Penales Juveniles</t>
  </si>
  <si>
    <t>La carga de trabajo en I Instancia Jurisdiccional es de xx expedientes</t>
  </si>
  <si>
    <t>Muestra la carga de trabajo en I Instancia Jurisdiccional específicamente en los asuntos que se encuentran es estado "trámite"</t>
  </si>
  <si>
    <t>Total de Casos pendientes al iniciar el período en I Instancia Jurisdiccional-Trámite + Total de casos entrados brutos en I Instancia Jurisdiccional + Total de legajos entrados en I Instancia materias no penales + Total de casos reentrados en I Instancia jurisdiccional + Total de casos reactivados en I Instancia + Total de casos entrados por apertura de testimonios de pieza en I Instancia jurisdiccional</t>
  </si>
  <si>
    <t>La carga de trabajo en I Instancia Jurisdiccional específicamente en los expedientes que se encuentran en el estado "trámite" es de xx expedientes</t>
  </si>
  <si>
    <t>Muestra la carga de trabajo en I Instancia Jurisdiccional más el Ministerio Público</t>
  </si>
  <si>
    <t>Carga de trabajo en I Instancia materias no penales + Carga de trabajo en materia penal + Carga de trabajo en materia penal juvenil</t>
  </si>
  <si>
    <t>La carga de trabajo en I Instancia Jurisdiccional más el Ministerio Público de xx expedientes</t>
  </si>
  <si>
    <t>Muestra la carga de trabajo en I Instancia materias no penales (civil, cobro, agrario, familia, contencioso administrativo, trabajo, contravenciones, tránsito, pensiones alimentarias, violencia doméstica, notarial)</t>
  </si>
  <si>
    <t>Carga de trabajo en I Instancia materias no penales (sumatoria de la carga de trabajo de civil, cobro, agrario, familia, contencioso administrativo, trabajo, contravenciones, tránsito, pensiones alimentarias, violencia doméstica, notarial)</t>
  </si>
  <si>
    <t>La carga de trabajo en I Instancia Jurisdiccional materias no penales (civil, cobro, agrario, familia, contencioso administrativo, trabajo, contravenciones, tránsito, pensiones alimentarias, violencia doméstica, notarial)es de xx expedientes</t>
  </si>
  <si>
    <t>Muestra la carga de trabajo en I Instancia materia civil</t>
  </si>
  <si>
    <t xml:space="preserve">Circulante Inicial del año + Total de casos entrados + Total de casos reentrados + Total de casos reactivados + Total de casos entrados por apertura de testimonios de pieza </t>
  </si>
  <si>
    <t>La carga de trabajo en I Instancia Jurisdiccional en materia civil es de xx expedientes</t>
  </si>
  <si>
    <t>Dato País por materia</t>
  </si>
  <si>
    <t>*Subproceso de Estadística, Dirección de Planificación, Poder Judicial</t>
  </si>
  <si>
    <t>Muestra la carga de trabajo en I Instancia materia cobro</t>
  </si>
  <si>
    <t>La carga de trabajo en I Instancia Jurisdiccional en materia cobratoria de xx expedientes</t>
  </si>
  <si>
    <t>Desde año 2010</t>
  </si>
  <si>
    <t>Muestra la carga de trabajo en I Instancia materia agraria</t>
  </si>
  <si>
    <t xml:space="preserve">Circulante Inicial del año + Total de casos entrados + Total de casos reentrados + Total de casos entrados por apertura de testimonios de pieza </t>
  </si>
  <si>
    <t>La carga de trabajo en I Instancia Jurisdiccional en materia agraria es de xx expedientes</t>
  </si>
  <si>
    <t>Muestra la carga de trabajo en I Instancia materia de familia</t>
  </si>
  <si>
    <t xml:space="preserve">Circulante Inicial del año + Total de casos entrados + Total de legajos + Total de casos reentrados + Total de casos entrados por apertura de testimonios de pieza </t>
  </si>
  <si>
    <t>La carga de trabajo en I Instancia Jurisdiccional en materia de familia es de xx expedientes</t>
  </si>
  <si>
    <t>Muestra la carga de trabajo en I Instancia en materia contenciosa administrativa</t>
  </si>
  <si>
    <t>La carga de trabajo en I Instancia Jurisdiccional en materia contenciosa administrativa es de xx expedientes</t>
  </si>
  <si>
    <t xml:space="preserve">Muestra la carga de trabajo en I Instancia en materia laboral </t>
  </si>
  <si>
    <t>La carga de trabajo en I Instancia Jurisdiccional en materia laboral es de xx expedientes</t>
  </si>
  <si>
    <t>Muestra la carga de trabajo en I Instancia en materia contravencional</t>
  </si>
  <si>
    <t>La carga de trabajo en I Instancia Jurisdiccional en materia contravencional es de xx expedientes</t>
  </si>
  <si>
    <t>Muestra la carga de trabajo en I Instancia en materia de tránsito</t>
  </si>
  <si>
    <t>La carga de trabajo en I Instancia Jurisdiccional en materia de tránsito es de xx expedientes</t>
  </si>
  <si>
    <t>Muestra la carga de trabajo en I Instancia en materia de pensiones alimentarias</t>
  </si>
  <si>
    <t>La carga de trabajo en I Instancia Jurisdiccional en materia de pensiones alimentarias es de xx expedientes</t>
  </si>
  <si>
    <t>Muestra la carga de trabajo en I Instancia en materia de violencia doméstica</t>
  </si>
  <si>
    <t>La carga de trabajo en I Instancia Jurisdiccional en materia de violencia doméstica es de xx expedientes</t>
  </si>
  <si>
    <t>Muestra la carga de trabajo en I Instancia en materia notarial</t>
  </si>
  <si>
    <t>La carga de trabajo en I Instancia Jurisdiccional en materia notarial es de xx expedientes</t>
  </si>
  <si>
    <t>Muestra la carga de trabajo en I Instancia en materia penal</t>
  </si>
  <si>
    <t>Circulante Inicial del año + Total de casos entrados + Total de casos reentrados + Total de casos entrados por apertura de testimonios de pieza (de Tribunales penales, juzgados penales y Fiscalías)</t>
  </si>
  <si>
    <t>La carga de trabajo en I Instancia Jurisdiccional en materia penal es de xx expedientes</t>
  </si>
  <si>
    <t>Muestra la carga de trabajo en I Instancia en materia penal especificamente en tribunales</t>
  </si>
  <si>
    <t>La carga de trabajo en I Instancia Jurisdiccional en tribunales penales es de xx expedientes</t>
  </si>
  <si>
    <t>Muestra la carga de trabajo en I Instancia en materia penal especificamente en juzgados</t>
  </si>
  <si>
    <t>La carga de trabajo en I Instancia Jurisdiccional en juzgados penales es de xx expedientes</t>
  </si>
  <si>
    <t>Muestra la carga de trabajo en I Instancia en materia penal especificamente en fiscalías</t>
  </si>
  <si>
    <t>La carga de trabajo en I Instancia Jurisdiccional en fiscalías es de xx expedientes</t>
  </si>
  <si>
    <t>Muestra la carga de trabajo en I Instancia en materia penal juvenil</t>
  </si>
  <si>
    <t>Circulante Inicial del año + Total de casos entrados + Total de casos reentrados + Total de casos entrados por apertura de testimonios de pieza (de juzgados penales juveniles  y fiscalías penales juveniles)</t>
  </si>
  <si>
    <t>La carga de trabajo en I Instancia Jurisdiccional en materia penal juvenil es de xx expedientes</t>
  </si>
  <si>
    <t>Muestra la carga de trabajo en I Instancia en materia penal juvenil especificamente en juzgados</t>
  </si>
  <si>
    <t>La carga de trabajo en I Instancia Jurisdiccional en juzgados penales juveniles es de xx expedientes</t>
  </si>
  <si>
    <t>Muestra la carga de trabajo en I Instancia en materia penal juvenil especificamente en fiscalías</t>
  </si>
  <si>
    <t>La carga de trabajo en I Instancia Jurisdiccional en fiscalías penales juveniles es de xx expedientes</t>
  </si>
  <si>
    <t>Muestra la carga de trabajo en única instancia materia constitucional</t>
  </si>
  <si>
    <t xml:space="preserve">Circulante Inicial del año + Total de casos entrados + Total de casos reentrados </t>
  </si>
  <si>
    <t>La carga de trabajo en única Instancia es de xx expedientes</t>
  </si>
  <si>
    <t>Muestra la carga de trabajo en II Instancia</t>
  </si>
  <si>
    <t>Circulante Inicial del año + Total de casos entrados + Total de casos reentrados  (de II Instancia)</t>
  </si>
  <si>
    <t>La carga de trabajo en II Instancia es de xx expedientes</t>
  </si>
  <si>
    <t>Dato País por oficina</t>
  </si>
  <si>
    <t>Muestra la carga de trabajo en II Instancia en tribunales de apelación penal</t>
  </si>
  <si>
    <t>La carga de trabajo en II Instancia tribunales de apelación penal es de xx expedientes</t>
  </si>
  <si>
    <t>Muestra la carga de trabajo en II Instancia en tribunales de apelación penal juvenil</t>
  </si>
  <si>
    <t>La carga de trabajo en II Instancia tribunales de apelación penal juvenil es de xx expedientes</t>
  </si>
  <si>
    <t>Muestra la carga de trabajo en II Instancia en tribunales civiles</t>
  </si>
  <si>
    <t>La carga de trabajo en II Instancia tribunales civiles es de xx expedientes</t>
  </si>
  <si>
    <t>Muestra la carga de trabajo en II Instancia en tribunales laborales</t>
  </si>
  <si>
    <t>La carga de trabajo en II Instancia tribunales laborales es de xx expedientes</t>
  </si>
  <si>
    <t>Muestra la carga de trabajo en II Instancia en Tribunal Contencioso Administrativo</t>
  </si>
  <si>
    <t>La carga de trabajo en II Instancia en Tribunal Contencioso Administrativo es de xx expedientes</t>
  </si>
  <si>
    <t>Muestra la carga de trabajo en II Instancia en tribunal de apelación de lo contencioso administrativo</t>
  </si>
  <si>
    <t>La carga de trabajo en II Instancia en Tribunal de apelación  de lo Contencioso Administrativo es de xx expedientes</t>
  </si>
  <si>
    <t>Muestra la carga de trabajo en II Instancia en Tribunal Agrario</t>
  </si>
  <si>
    <t>La carga de trabajo en II Instancia en Tribunal Agrario es de xx expedientes</t>
  </si>
  <si>
    <t>Muestra la carga de trabajo en II Instancia en Tribunal de Familia</t>
  </si>
  <si>
    <t>La carga de trabajo en II Instancia en Tribunal de Familia es de xx expedientes</t>
  </si>
  <si>
    <t>Muestra la carga de trabajo en II Instancia en Tribunal Penal Juvenil</t>
  </si>
  <si>
    <t>La carga de trabajo en II Instancia en Tribunal Penal Juvenil es de xx expedientes</t>
  </si>
  <si>
    <t>Muestra la carga de trabajo en II Instancia en Tribunal Notarial</t>
  </si>
  <si>
    <t>La carga de trabajo en II Instancia en Tribunal Notarial es de xx expedientes</t>
  </si>
  <si>
    <t>Muestra la carga de trabajo en II Instancia en la Dirección Nacional de Notariado</t>
  </si>
  <si>
    <t>La carga de trabajo en II Instancia en la Dirección Nacional de Notariado es de xx expedientes</t>
  </si>
  <si>
    <t>Muestra la carga de trabajo en casación</t>
  </si>
  <si>
    <t>Circulante Inicial del año + Total de casos entrados + Total de casos reentrados (de casación)</t>
  </si>
  <si>
    <t>La carga de trabajo en Casación es de xx expedientes</t>
  </si>
  <si>
    <t>Muestra la carga de trabajo en Sala I</t>
  </si>
  <si>
    <t>La carga de trabajo en Sala I es de xx expedientes</t>
  </si>
  <si>
    <t>Muestra la carga de trabajo en Sala I, Tribunal de Casación de lo Contencioso Administrativo</t>
  </si>
  <si>
    <t>La carga de trabajo en Sala I, Tribunal de Casación de lo Contencioso Administrativo es de xx expedientes</t>
  </si>
  <si>
    <t>Desde año 2008</t>
  </si>
  <si>
    <t>Muestra la carga de trabajo en Sala II</t>
  </si>
  <si>
    <t>La carga de trabajo en Sala II es de xx expedientes</t>
  </si>
  <si>
    <t>Muestra la carga de trabajo en Sala III</t>
  </si>
  <si>
    <t>La carga de trabajo en Sala III es de xx expedientes</t>
  </si>
  <si>
    <t>Muestra la carga de trabajo en Sala III penal juvenil</t>
  </si>
  <si>
    <t>La carga de trabajo en Sala III penal juvenil es de xx expedientes</t>
  </si>
  <si>
    <t>Muestra la carga de trabajo en Tribunal de Casación penal</t>
  </si>
  <si>
    <t>La carga de trabajo en Tribunal de Casación Penal es de xx expedientes</t>
  </si>
  <si>
    <t>Muestra la carga de trabajo en Tribunal de Casación penal juvenil</t>
  </si>
  <si>
    <t>La carga de trabajo en Tribunal de Casación Penal Juvenil es de xx expedientes</t>
  </si>
  <si>
    <t>Muestra la carga de trabajo en el programa de Justicia Restaurativa</t>
  </si>
  <si>
    <t>La carga de trabajo en el programa de Justicia Restaurativa es de xx expedientes</t>
  </si>
  <si>
    <t>Muestra la carga de trabajo en el Organismo de Investigación Judicial</t>
  </si>
  <si>
    <t>Circulante Inicial del año en OIJ + Total de casos entrados en OIJ + Total de casos reentrados en OIJ</t>
  </si>
  <si>
    <t>La carga de trabajo en el Organismo de Investigación Judicial es de xx expedientes</t>
  </si>
  <si>
    <t>Muestra la carga de trabajo en Ciencias Forenses</t>
  </si>
  <si>
    <t>La carga de trabajo en Ciencias Forenses es de xx expedientes</t>
  </si>
  <si>
    <t>Muestra la carga de trabajo en la Defensa Pública</t>
  </si>
  <si>
    <t>La carga de trabajo en la Defensa Pública es de xx expedientes</t>
  </si>
  <si>
    <t>Muestra la carga de trabajo en la Defensa Pública laboral</t>
  </si>
  <si>
    <t>La carga de trabajo en la Defensa Pública laboral es de xx expedientes</t>
  </si>
  <si>
    <t>Desde año 2017</t>
  </si>
  <si>
    <t>Carga de trabajo en Atención y Protección a víctimas y testigos</t>
  </si>
  <si>
    <t>Muestra la carga de trabajo en Atención y Protección a Víctimas y testigos</t>
  </si>
  <si>
    <t>La carga de trabajo en Atención y Protección a Víctimas y testigos es de xx expedientes</t>
  </si>
  <si>
    <t>Desde año 2011</t>
  </si>
  <si>
    <t>Muestra la variación porcentual de la carga de trabajo en I Instancia Jurisdiccional con respecto al año anterior</t>
  </si>
  <si>
    <t>(Carga de trabajo en I Instancia Jurisdiccional - Carga de trabajo en I Instancia Jurisdiccional del año anterior / Carga de trabajo en I Instancia Jurisdiccional del año anterior )*100</t>
  </si>
  <si>
    <t>La variación porcentual de la carga de trabajo de I Instancia con respecto al año anterior es de xx%</t>
  </si>
  <si>
    <t>Muestra la variación porcentual de la carga de trabajo en I Instancia Jurisdiccional - trámite  con respecto al año anterior</t>
  </si>
  <si>
    <t>La variación porcentual de la carga de trabajo de I Instancia Jurisdiccional con respecto al año anterior es de xx%</t>
  </si>
  <si>
    <t>Muestra la variación porcentual de la carga de trabajo en I Instancia Jurisdiccional + MP  con respecto al año anterior</t>
  </si>
  <si>
    <t>(Carga de trabajo en I Instancia Jurisdiccional + MP - Carga de trabajo en I Instancia Jurisdiccional + MP del año anterior / Carga de trabajo en I Instancia Jurisdiccional + MP del año anterior )*100</t>
  </si>
  <si>
    <t>La variación porcentual de la carga de trabajo de I Instancia Jurisdiccional + MP con respecto al año anterior es de xx%</t>
  </si>
  <si>
    <t>Muestra la variación porcentual de la carga de trabajo en materias no penales con respecto al año anterior</t>
  </si>
  <si>
    <t>(Carga de trabajo en I Instancia Jurisdiccional materias no penales - Carga de trabajo en I Instancia Jurisdiccional materias no penales del año anterior / Carga de trabajo en I Instancia Jurisdiccional materias no penales del año anterior )*100</t>
  </si>
  <si>
    <t>La variación porcentual de la carga de trabajo de I Instancia Jurisdiccional materias no penales con respecto al año anterior es de xx%</t>
  </si>
  <si>
    <t>Muestra la variación porcentual de la carga de trabajo en esta materia con respecto al año anterior</t>
  </si>
  <si>
    <t>(Carga de trabajo en I Instancia Jurisdiccional de esta materia - Carga de trabajo en I Instancia Jurisdiccional de esta materias del año anterior / Carga de trabajo en I Instancia Jurisdiccional de esta materia del año anterior )*100</t>
  </si>
  <si>
    <t>La variación porcentual de la carga de trabajo de I Instancia Jurisdiccional en esta materias con respecto al año anterior es de xx%</t>
  </si>
  <si>
    <t>Muestra la variación porcentual de la carga de trabajo en II Instancia con respecto al año anterior</t>
  </si>
  <si>
    <t>(Carga de trabajo en II Instancia - Carga de trabajo en II Instancia del año anterior / Carga de trabajo en II Instancia del año anterior )*100</t>
  </si>
  <si>
    <t>La variación porcentual de la carga de trabajo de II Instancia con respecto al año anterior es de xx%</t>
  </si>
  <si>
    <t>Muestra la variación porcentual de la carga de trabajo en II Instancia del Tribunal de Apelación Penal con respecto al año anterior</t>
  </si>
  <si>
    <t>(Carga de trabajo - Carga de trabajo del año anterior / Carga de trabajo del año anterior )*100</t>
  </si>
  <si>
    <t>La variación porcentual de la carga de trabajo de esta oficina con respecto al año anterior es de xx%</t>
  </si>
  <si>
    <t>Muestra la variación porcentual de la carga de trabajo en II Instancia del Tribunal de Apelación penal juvenil con respecto al año anterior</t>
  </si>
  <si>
    <t>Muestra la variación porcentual de la carga de trabajo en II Instancia de Tribunales civiles con respecto al año anterior</t>
  </si>
  <si>
    <t>Muestra la variación porcentual de la carga de trabajo en II Instancia de Tribunales laborales con respecto al año anterior</t>
  </si>
  <si>
    <t>Muestra la variación porcentual de la carga de trabajo en II Instancia de Tribunal Contencioso Administrativo con respecto al año anterior</t>
  </si>
  <si>
    <t>Muestra la variación porcentual de la carga de trabajo en II Instancia de Tribunal de apelación Contencioso Administrativo con respecto al año anterior</t>
  </si>
  <si>
    <t>Muestra la variación porcentual de la carga de trabajo en II Instancia de Tribunal agrario con respecto al año anterior</t>
  </si>
  <si>
    <t>Muestra la variación porcentual de la carga de trabajo en II Instancia de Tribunal de familia con respecto al año anterior</t>
  </si>
  <si>
    <t>Muestra la variación porcentual de la carga de trabajo en II Instancia del Tribunal penal juvenil con respecto al año anterior</t>
  </si>
  <si>
    <t>Muestra la variación porcentual de la carga de trabajo en II Instancia del Tribunal notarial con respecto al año anterior</t>
  </si>
  <si>
    <t>Muestra la variación porcentual de la carga de trabajo en II Instancia de la Dir Nacional de Notariado con respecto al año anterior</t>
  </si>
  <si>
    <t>Muestra la variación porcentual de la carga de trabajo en casación con respecto al año anterior</t>
  </si>
  <si>
    <t>Muestra la variación porcentual de la carga de trabajo en Sala I con respecto al año anterior</t>
  </si>
  <si>
    <t>Muestra la variación porcentual de la carga de trabajo en Sala I, Tribunal de casación de lo Contencioso Administrativo con respecto al año anterior</t>
  </si>
  <si>
    <t>Muestra la variación porcentual de la carga de trabajo en Sala II con respecto al año anterior</t>
  </si>
  <si>
    <t>Muestra la variación porcentual de la carga de trabajo en Sala III con respecto al año anterior</t>
  </si>
  <si>
    <t>Muestra la variación porcentual de la carga de trabajo en Sala III penal juvenil con respecto al año anterior</t>
  </si>
  <si>
    <t>Muestra la variación porcentual de la carga de trabajo en el Tribunal de casación penal con respecto al año anterior</t>
  </si>
  <si>
    <t>Muestra la variación porcentual de la carga de trabajo en el Tribunal de casación penal juvenil con respecto al año anterior</t>
  </si>
  <si>
    <t>Muestra la variación porcentual de la carga de trabajo en el programa de Justicia Restaurativa con respecto al año anterior</t>
  </si>
  <si>
    <t>La variación porcentual de la carga de trabajo de este programa con respecto al año anterior es de xx%</t>
  </si>
  <si>
    <t>Muestra la variación porcentual de la carga de trabajo en el OIJ con respecto al año anterior</t>
  </si>
  <si>
    <t>La variación porcentual de la carga de trabajo del OIJ con respecto al año anterior es de xx%</t>
  </si>
  <si>
    <t>Muestra la variación porcentual de la carga de trabajo en Ciencias Forenses con respecto al año anterior</t>
  </si>
  <si>
    <t>La variación porcentual de la carga de trabajo de Ciencias Forenses con respecto al año anterior es de xx%</t>
  </si>
  <si>
    <t>Muestra la variación porcentual de la carga de trabajo en la Defensa Pública con respecto al año anterior</t>
  </si>
  <si>
    <t>La variación porcentual de la carga de trabajo de la Defensa Pública con respecto al año anterior es de xx%</t>
  </si>
  <si>
    <t>Muestra la variación porcentual de la carga de trabajo en la Defensa Pública laboral con respecto al año anterior</t>
  </si>
  <si>
    <t>La variación porcentual de la carga de trabajo de la Defensa Pública Laboral con respecto al año anterior es de xx%</t>
  </si>
  <si>
    <t>Muestra la variación porcentual de la carga de trabajo en Atención y Protección de la Víctima y testigos con respecto al año anterior</t>
  </si>
  <si>
    <t>La variación porcentual de la carga de trabajo de Atención y Protección de Víctimas y Testigos con respecto al año anterior es de xx%</t>
  </si>
  <si>
    <t>7.2.1</t>
  </si>
  <si>
    <t>Tasa de denuncias netas del delito de xxxx</t>
  </si>
  <si>
    <t>Muestra la cantidad de denuncias nuevas netas por delito, ingresados al Sistema Judicial (Ministerio Público, OIJ y Delitos de Acción privada) por año por cada 100 000 mil habitantes</t>
  </si>
  <si>
    <t>(casos entrados netos al MP + delitos de acción privada +  OIJ (por delito)  / Población total de Costa Rica)*100000</t>
  </si>
  <si>
    <t>Por cada 100 000 mil habitantes se denuncian xx casos nuevos clasificados por familia o figura delictiva (regulada por el Código Penal de Costa Rica) por año</t>
  </si>
  <si>
    <t>Tasa</t>
  </si>
  <si>
    <t>Total país y por familia o figura delictiva</t>
  </si>
  <si>
    <t>Esta ficha técnica aplica para el desglose por familia y figura delictiva de los 480 delitos tipificados en el Código Penal de Costa Rica y sus leyes especiales</t>
  </si>
  <si>
    <t>Dato fuente (datos en bruto, sin cálculo)</t>
  </si>
  <si>
    <t>El gasto promedio diario en justicia por habitante es de ¢ xx colones</t>
  </si>
  <si>
    <t>El gasto promedio diario en justicia por habitante del programa 926 Dirección, Administ. y Otros Org. de Apoyo Jurisd es de ¢ xx colones</t>
  </si>
  <si>
    <t>El gasto promedio diario en justicia por habitante del programa 927 Servicio Jurisdiccional es de ¢ xx colones</t>
  </si>
  <si>
    <t>El gasto promedio diario en justicia por habitante del programa 928 Servicio Organismo de Investigación Judicial es de ¢ xx colones</t>
  </si>
  <si>
    <t>El gasto promedio diario en justicia por habitante del programa 929 Ministerio Público es de ¢ xx colones</t>
  </si>
  <si>
    <t>El gasto promedio diario en justicia por habitante del programa 930 Defensa Pública es de ¢ xx colones</t>
  </si>
  <si>
    <t>El gasto promedio diario en justicia por habitante del programa 950 Servicio de Atención y protección a Víctimas y Testigos es de ¢ xx colones</t>
  </si>
  <si>
    <t>El gasto promedio diario en justicia por habitante de los programas 931 Servicio Notariado, 932 Servicio Justicia de Tránsito, 942 Aporte local préstamo 1377/OC-CR y el 801 superávitel) es de ¢ xx colones</t>
  </si>
  <si>
    <t>El Costo promedio de las causas atendidas en el Poder Judicial durante el año es de ¢ xx colones</t>
  </si>
  <si>
    <t>El Costo promedio de las causas entradas en el Poder Judicial  durante el año es de ¢ xx colones</t>
  </si>
  <si>
    <t>El Costo promedio de las causas terminadas en el Poder Judicial  durante el año es de ¢ xx colones</t>
  </si>
  <si>
    <t>El costo promedio por expediente terminado específicamente en el Servicio Jurisdiccional en el Poder Judicial es de ₡xx colones</t>
  </si>
  <si>
    <t>El costo promedio por expediente terminado específicamente en el Organismo de Investigación Judicial en el Poder Judicial es de ₡xx colones</t>
  </si>
  <si>
    <t>El costo promedio por expediente terminado específicamente en el Ministerio Público en el Poder Judicial es de ₡xx colones</t>
  </si>
  <si>
    <t>El costo promedio por expediente terminado específicamente en la Defensa Pública en el Poder Judicial es de ₡xx colones</t>
  </si>
  <si>
    <t>El costo promedio por expediente terminado específicamente en el Programa de Atención y Protección a Víctimas y Testigos en el Poder Judicial es de ₡xx colones</t>
  </si>
  <si>
    <t>El costo promedio por expediente terminado específicamente en los programas  931 Servicio Notariado, 932 Servicio Justicia de Tránsito, 942 Aporte local préstamo 1377/OC-CR y el 801 superávit en el Poder Judicial es de ₡xx colones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</si>
</sst>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00_);_(* \(#,##0.00\);_(* &quot;-&quot;??_);_(@_)"/>
    <numFmt numFmtId="166" formatCode="#,##0.00;[Red]#,##0.00"/>
    <numFmt numFmtId="167" formatCode="#,##0.0_);\(#,##0.0\)"/>
    <numFmt numFmtId="168" formatCode="#,##0;[Red]#,##0"/>
    <numFmt numFmtId="172" formatCode="#,##0.0;[Red]#,##0.0"/>
    <numFmt numFmtId="173" formatCode="_([$€]* #,##0.00_);_([$€]* \(#,##0.00\);_([$€]* \-??_);_(@_)"/>
  </numFmts>
  <fonts count="21" x14ac:knownFonts="1">
    <font>
      <sz val="11"/>
      <color theme="1"/>
      <name val="Calibri"/>
      <family val="2"/>
      <scheme val="minor"/>
    </font>
    <font>
      <sz val="10"/>
      <name val="Arial"/>
      <family val="2"/>
    </font>
    <font>
      <sz val="11"/>
      <color indexed="8"/>
      <name val="Calibri"/>
      <family val="2"/>
    </font>
    <font>
      <sz val="8"/>
      <name val="Calibri"/>
      <family val="2"/>
    </font>
    <font>
      <sz val="9"/>
      <color indexed="81"/>
      <name val="Tahoma"/>
      <family val="2"/>
    </font>
    <font>
      <b/>
      <sz val="9"/>
      <color indexed="81"/>
      <name val="Tahoma"/>
      <family val="2"/>
    </font>
    <font>
      <sz val="10"/>
      <name val="Arial"/>
      <family val="2"/>
      <charset val="1"/>
    </font>
    <font>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sz val="9"/>
      <color rgb="FF000000"/>
      <name val="Calibri"/>
      <family val="2"/>
      <scheme val="minor"/>
    </font>
    <font>
      <sz val="10"/>
      <color rgb="FF000000"/>
      <name val="Calibri"/>
      <family val="2"/>
    </font>
    <font>
      <sz val="10"/>
      <color theme="1"/>
      <name val="Calibri"/>
      <family val="2"/>
    </font>
    <font>
      <b/>
      <sz val="10"/>
      <color rgb="FFFF0000"/>
      <name val="Calibri"/>
      <family val="2"/>
    </font>
    <font>
      <sz val="10"/>
      <color indexed="81"/>
      <name val="Tahoma"/>
      <family val="2"/>
    </font>
    <font>
      <b/>
      <sz val="9"/>
      <color theme="1"/>
      <name val="Calibri"/>
      <family val="2"/>
    </font>
    <font>
      <b/>
      <sz val="10"/>
      <color theme="1" tint="0.34998626667073579"/>
      <name val="Calibri"/>
      <family val="2"/>
    </font>
    <font>
      <sz val="10"/>
      <color theme="1" tint="0.34998626667073579"/>
      <name val="Calibri"/>
      <family val="2"/>
    </font>
    <font>
      <sz val="10"/>
      <color theme="1" tint="0.34998626667073579"/>
      <name val="Calibri"/>
      <family val="2"/>
      <scheme val="minor"/>
    </font>
    <font>
      <sz val="9"/>
      <color theme="1" tint="0.34998626667073579"/>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medium">
        <color indexed="64"/>
      </bottom>
      <diagonal/>
    </border>
    <border>
      <left/>
      <right style="thin">
        <color indexed="64"/>
      </right>
      <top/>
      <bottom style="thick">
        <color theme="0" tint="-0.24994659260841701"/>
      </bottom>
      <diagonal/>
    </border>
    <border>
      <left style="thin">
        <color indexed="64"/>
      </left>
      <right style="thin">
        <color indexed="64"/>
      </right>
      <top/>
      <bottom style="thick">
        <color theme="0" tint="-0.24994659260841701"/>
      </bottom>
      <diagonal/>
    </border>
  </borders>
  <cellStyleXfs count="16">
    <xf numFmtId="0" fontId="0" fillId="0" borderId="0"/>
    <xf numFmtId="173" fontId="1" fillId="0" borderId="0" applyFill="0" applyBorder="0" applyAlignment="0" applyProtection="0"/>
    <xf numFmtId="0" fontId="6" fillId="0" borderId="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2" fillId="0" borderId="0"/>
  </cellStyleXfs>
  <cellXfs count="55">
    <xf numFmtId="0" fontId="0" fillId="0" borderId="0" xfId="0"/>
    <xf numFmtId="0" fontId="8" fillId="0" borderId="0" xfId="0" applyFont="1"/>
    <xf numFmtId="167" fontId="8" fillId="0" borderId="0" xfId="0" applyNumberFormat="1" applyFont="1"/>
    <xf numFmtId="168" fontId="8" fillId="0" borderId="0" xfId="0" applyNumberFormat="1" applyFont="1"/>
    <xf numFmtId="0" fontId="8" fillId="0" borderId="0" xfId="0" applyFont="1" applyAlignment="1">
      <alignment horizontal="right"/>
    </xf>
    <xf numFmtId="0" fontId="10" fillId="0" borderId="0" xfId="0" applyFont="1"/>
    <xf numFmtId="0" fontId="9" fillId="0" borderId="0" xfId="0" applyFont="1"/>
    <xf numFmtId="0" fontId="8" fillId="0" borderId="0" xfId="0" applyFont="1" applyFill="1"/>
    <xf numFmtId="0" fontId="8" fillId="0" borderId="0" xfId="0" applyFont="1" applyFill="1" applyBorder="1"/>
    <xf numFmtId="0" fontId="8" fillId="0" borderId="0" xfId="0" applyFont="1" applyFill="1" applyAlignment="1">
      <alignment horizontal="left"/>
    </xf>
    <xf numFmtId="0" fontId="8" fillId="0" borderId="0" xfId="0" applyFont="1" applyBorder="1"/>
    <xf numFmtId="0" fontId="11" fillId="0" borderId="0" xfId="0" applyFont="1" applyAlignment="1">
      <alignment vertical="center" wrapText="1"/>
    </xf>
    <xf numFmtId="172" fontId="8" fillId="0" borderId="0" xfId="0" applyNumberFormat="1" applyFont="1" applyBorder="1" applyAlignment="1">
      <alignment horizontal="right"/>
    </xf>
    <xf numFmtId="0" fontId="10" fillId="0" borderId="0" xfId="0" applyFont="1" applyFill="1"/>
    <xf numFmtId="0" fontId="13" fillId="0" borderId="0" xfId="0" applyFont="1"/>
    <xf numFmtId="0" fontId="13" fillId="0" borderId="0" xfId="0" applyFont="1" applyAlignment="1">
      <alignment horizontal="justify"/>
    </xf>
    <xf numFmtId="0" fontId="13" fillId="0" borderId="0" xfId="0" applyFont="1" applyAlignment="1">
      <alignment horizontal="left"/>
    </xf>
    <xf numFmtId="0" fontId="12" fillId="0" borderId="0" xfId="0" applyFont="1" applyAlignment="1">
      <alignment horizontal="justify" vertical="center" readingOrder="1"/>
    </xf>
    <xf numFmtId="0" fontId="13" fillId="0" borderId="0" xfId="0" applyFont="1" applyAlignment="1">
      <alignment horizontal="center"/>
    </xf>
    <xf numFmtId="0" fontId="14" fillId="0" borderId="0" xfId="0" applyFont="1" applyAlignment="1">
      <alignment horizontal="center"/>
    </xf>
    <xf numFmtId="2" fontId="14" fillId="0" borderId="0" xfId="0" applyNumberFormat="1" applyFont="1" applyAlignment="1">
      <alignment horizontal="center"/>
    </xf>
    <xf numFmtId="0" fontId="14" fillId="0" borderId="0" xfId="0" applyFont="1" applyAlignment="1">
      <alignment horizontal="left"/>
    </xf>
    <xf numFmtId="2" fontId="14" fillId="0" borderId="0" xfId="0" applyNumberFormat="1" applyFont="1" applyAlignment="1">
      <alignment horizontal="left"/>
    </xf>
    <xf numFmtId="0" fontId="13" fillId="0" borderId="0" xfId="0" applyFont="1" applyBorder="1"/>
    <xf numFmtId="0" fontId="13" fillId="0" borderId="0" xfId="0" applyFont="1" applyAlignment="1">
      <alignment horizontal="justify" vertical="justify"/>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3" xfId="0" applyFont="1" applyFill="1" applyBorder="1" applyAlignment="1">
      <alignment horizontal="center" wrapText="1"/>
    </xf>
    <xf numFmtId="0" fontId="18" fillId="2" borderId="0" xfId="0" applyFont="1" applyFill="1" applyAlignment="1">
      <alignment horizontal="justify"/>
    </xf>
    <xf numFmtId="0" fontId="17" fillId="2" borderId="0" xfId="0" applyFont="1" applyFill="1" applyAlignment="1">
      <alignment horizontal="center"/>
    </xf>
    <xf numFmtId="0" fontId="17" fillId="2" borderId="0" xfId="0" applyFont="1" applyFill="1" applyAlignment="1">
      <alignment horizontal="left"/>
    </xf>
    <xf numFmtId="166" fontId="19" fillId="2" borderId="0" xfId="0" applyNumberFormat="1" applyFont="1" applyFill="1" applyAlignment="1">
      <alignment horizontal="left"/>
    </xf>
    <xf numFmtId="0" fontId="18" fillId="2" borderId="0" xfId="0" applyFont="1" applyFill="1" applyAlignment="1">
      <alignment horizontal="center"/>
    </xf>
    <xf numFmtId="0" fontId="18" fillId="2" borderId="0" xfId="0" applyFont="1" applyFill="1" applyAlignment="1">
      <alignment horizontal="left"/>
    </xf>
    <xf numFmtId="0" fontId="19" fillId="2" borderId="0" xfId="0" applyFont="1" applyFill="1" applyAlignment="1">
      <alignment horizontal="left"/>
    </xf>
    <xf numFmtId="0" fontId="20" fillId="2" borderId="0" xfId="0" applyFont="1" applyFill="1" applyAlignment="1">
      <alignment vertical="center" wrapText="1"/>
    </xf>
    <xf numFmtId="0" fontId="18" fillId="2" borderId="0" xfId="0" applyFont="1" applyFill="1" applyAlignment="1">
      <alignment horizontal="justify" wrapText="1"/>
    </xf>
    <xf numFmtId="0" fontId="19" fillId="2" borderId="0" xfId="0" applyFont="1" applyFill="1" applyAlignment="1">
      <alignment vertical="center" wrapText="1"/>
    </xf>
    <xf numFmtId="0" fontId="18" fillId="2" borderId="0" xfId="0" applyFont="1" applyFill="1" applyAlignment="1">
      <alignment horizontal="justify" vertical="center" readingOrder="1"/>
    </xf>
    <xf numFmtId="0" fontId="18" fillId="2" borderId="0" xfId="0" applyFont="1" applyFill="1" applyAlignment="1">
      <alignment horizontal="justify" readingOrder="1"/>
    </xf>
    <xf numFmtId="0" fontId="19" fillId="2" borderId="0" xfId="0" applyFont="1" applyFill="1"/>
    <xf numFmtId="0" fontId="20" fillId="2" borderId="0" xfId="0" applyFont="1" applyFill="1"/>
    <xf numFmtId="0" fontId="18" fillId="2" borderId="1" xfId="0" applyFont="1" applyFill="1" applyBorder="1" applyAlignment="1">
      <alignment horizontal="justify"/>
    </xf>
    <xf numFmtId="0" fontId="17" fillId="2" borderId="1" xfId="0" applyFont="1" applyFill="1" applyBorder="1" applyAlignment="1">
      <alignment horizontal="center"/>
    </xf>
    <xf numFmtId="0" fontId="17" fillId="2" borderId="1" xfId="0" applyFont="1" applyFill="1" applyBorder="1" applyAlignment="1">
      <alignment horizontal="left"/>
    </xf>
    <xf numFmtId="0" fontId="18" fillId="2" borderId="1" xfId="0" applyFont="1" applyFill="1" applyBorder="1" applyAlignment="1">
      <alignment horizontal="justify" wrapText="1"/>
    </xf>
    <xf numFmtId="0" fontId="18" fillId="2" borderId="0" xfId="0" applyFont="1" applyFill="1" applyBorder="1" applyAlignment="1">
      <alignment horizontal="justify"/>
    </xf>
    <xf numFmtId="0" fontId="20" fillId="2" borderId="0" xfId="0" applyFont="1" applyFill="1" applyBorder="1"/>
    <xf numFmtId="0" fontId="18" fillId="2" borderId="0" xfId="0" applyFont="1" applyFill="1" applyBorder="1" applyAlignment="1">
      <alignment horizontal="justify" wrapText="1"/>
    </xf>
    <xf numFmtId="0" fontId="18" fillId="2" borderId="0" xfId="0" applyFont="1" applyFill="1" applyBorder="1" applyAlignment="1">
      <alignment horizontal="left"/>
    </xf>
    <xf numFmtId="0" fontId="2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alignment horizontal="left"/>
    </xf>
    <xf numFmtId="0" fontId="18" fillId="2" borderId="0" xfId="0" applyFont="1" applyFill="1" applyAlignment="1">
      <alignment horizontal="left" vertical="center" wrapText="1"/>
    </xf>
    <xf numFmtId="0" fontId="18" fillId="2" borderId="0" xfId="0" applyFont="1" applyFill="1" applyAlignment="1">
      <alignment horizontal="left" wrapText="1"/>
    </xf>
  </cellXfs>
  <cellStyles count="16">
    <cellStyle name="Euro" xfId="1" xr:uid="{00000000-0005-0000-0000-000000000000}"/>
    <cellStyle name="Excel Built-in Normal 3" xfId="2" xr:uid="{00000000-0005-0000-0000-000001000000}"/>
    <cellStyle name="Millares 2" xfId="3" xr:uid="{00000000-0005-0000-0000-000003000000}"/>
    <cellStyle name="Millares 2 2" xfId="4" xr:uid="{00000000-0005-0000-0000-000004000000}"/>
    <cellStyle name="Millares 2 3" xfId="5" xr:uid="{00000000-0005-0000-0000-000005000000}"/>
    <cellStyle name="Millares 2 4" xfId="6" xr:uid="{00000000-0005-0000-0000-000006000000}"/>
    <cellStyle name="Millares 3" xfId="7" xr:uid="{00000000-0005-0000-0000-000007000000}"/>
    <cellStyle name="Normal" xfId="0" builtinId="0"/>
    <cellStyle name="Normal 2" xfId="8" xr:uid="{00000000-0005-0000-0000-000009000000}"/>
    <cellStyle name="Normal 2 2" xfId="9" xr:uid="{00000000-0005-0000-0000-00000A000000}"/>
    <cellStyle name="Normal 3" xfId="10" xr:uid="{00000000-0005-0000-0000-00000B000000}"/>
    <cellStyle name="Normal 4" xfId="11" xr:uid="{00000000-0005-0000-0000-00000C000000}"/>
    <cellStyle name="Normal 4 2" xfId="12" xr:uid="{00000000-0005-0000-0000-00000D000000}"/>
    <cellStyle name="Normal 4 3" xfId="13" xr:uid="{00000000-0005-0000-0000-00000E000000}"/>
    <cellStyle name="Normal 5" xfId="14" xr:uid="{00000000-0005-0000-0000-00000F000000}"/>
    <cellStyle name="Normal 6" xfId="15" xr:uid="{00000000-0005-0000-0000-000010000000}"/>
  </cellStyles>
  <dxfs count="21">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b/>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left" vertical="bottom" textRotation="0" wrapText="0" indent="0" justifyLastLine="0" shrinkToFit="0" readingOrder="0"/>
    </dxf>
    <dxf>
      <font>
        <b/>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tint="0.34998626667073579"/>
        <name val="Calibri"/>
        <family val="2"/>
        <scheme val="none"/>
      </font>
      <fill>
        <patternFill patternType="solid">
          <fgColor indexed="64"/>
          <bgColor theme="0" tint="-4.9989318521683403E-2"/>
        </patternFill>
      </fill>
      <alignment horizontal="justify" vertical="bottom" textRotation="0" wrapText="0" indent="0" justifyLastLine="0" shrinkToFit="0" readingOrder="0"/>
    </dxf>
    <dxf>
      <font>
        <strike val="0"/>
        <outline val="0"/>
        <shadow val="0"/>
        <u val="none"/>
        <vertAlign val="baseline"/>
        <color theme="1" tint="0.34998626667073579"/>
        <name val="Calibri"/>
        <family val="2"/>
      </font>
      <fill>
        <patternFill patternType="solid">
          <fgColor indexed="64"/>
          <bgColor theme="0" tint="-4.9989318521683403E-2"/>
        </patternFill>
      </fill>
    </dxf>
    <dxf>
      <border outline="0">
        <bottom style="thick">
          <color theme="0" tint="-0.24994659260841701"/>
        </bottom>
      </border>
    </dxf>
    <dxf>
      <border outline="0">
        <top style="thick">
          <color theme="0" tint="-0.24994659260841701"/>
        </top>
        <bottom style="medium">
          <color indexed="64"/>
        </bottom>
      </border>
    </dxf>
  </dxfs>
  <tableStyles count="0" defaultTableStyle="TableStyleMedium2" defaultPivotStyle="PivotStyleLight16"/>
  <colors>
    <mruColors>
      <color rgb="FF00FFCC"/>
      <color rgb="FFCC66FF"/>
      <color rgb="FF00FF99"/>
      <color rgb="FFFFCCFF"/>
      <color rgb="FFFF99FF"/>
      <color rgb="FF0DE4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VB\Producci&#243;n\Informes\Indicadores%20Institucionales\Base%20Ind%20Inst\Indicadores%20Institucionales%20version%2015%20marzo%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originales"/>
      <sheetName val="Fuentes"/>
      <sheetName val="Calculos Indicadores"/>
      <sheetName val="meta datos"/>
      <sheetName val="Hda"/>
      <sheetName val="Hoja1"/>
      <sheetName val="DDHH"/>
    </sheetNames>
    <sheetDataSet>
      <sheetData sheetId="0" refreshError="1"/>
      <sheetData sheetId="1" refreshError="1"/>
      <sheetData sheetId="2" refreshError="1">
        <row r="2">
          <cell r="C2" t="str">
            <v>F.1</v>
          </cell>
        </row>
        <row r="3">
          <cell r="C3" t="str">
            <v>F.2</v>
          </cell>
        </row>
        <row r="4">
          <cell r="C4" t="str">
            <v>F.3</v>
          </cell>
        </row>
        <row r="7">
          <cell r="C7" t="str">
            <v>1.1.2</v>
          </cell>
        </row>
        <row r="8">
          <cell r="C8" t="str">
            <v>1.1.3</v>
          </cell>
        </row>
        <row r="9">
          <cell r="C9" t="str">
            <v>1.1.4</v>
          </cell>
        </row>
        <row r="10">
          <cell r="C10" t="str">
            <v>1.1.5</v>
          </cell>
        </row>
        <row r="11">
          <cell r="C11" t="str">
            <v>1.1.6</v>
          </cell>
        </row>
        <row r="12">
          <cell r="C12" t="str">
            <v>1.1.7</v>
          </cell>
        </row>
        <row r="13">
          <cell r="C13" t="str">
            <v>1.1.8</v>
          </cell>
        </row>
        <row r="14">
          <cell r="C14" t="str">
            <v>1.1.9</v>
          </cell>
        </row>
        <row r="15">
          <cell r="C15" t="str">
            <v>1.2.1</v>
          </cell>
        </row>
        <row r="16">
          <cell r="C16" t="str">
            <v>1.2.2</v>
          </cell>
        </row>
        <row r="17">
          <cell r="C17" t="str">
            <v>1.2.3</v>
          </cell>
        </row>
        <row r="18">
          <cell r="C18" t="str">
            <v>1.2.4</v>
          </cell>
        </row>
        <row r="19">
          <cell r="C19" t="str">
            <v>1.2.5</v>
          </cell>
        </row>
        <row r="20">
          <cell r="C20" t="str">
            <v>1.2.6</v>
          </cell>
        </row>
        <row r="21">
          <cell r="C21" t="str">
            <v>1.2.7</v>
          </cell>
        </row>
        <row r="22">
          <cell r="C22" t="str">
            <v>1.3</v>
          </cell>
        </row>
        <row r="23">
          <cell r="C23" t="str">
            <v>1.4</v>
          </cell>
        </row>
        <row r="24">
          <cell r="C24" t="str">
            <v>1.5</v>
          </cell>
        </row>
        <row r="25">
          <cell r="C25" t="str">
            <v>1.6</v>
          </cell>
        </row>
        <row r="26">
          <cell r="C26" t="str">
            <v>1.6.1</v>
          </cell>
        </row>
        <row r="27">
          <cell r="C27" t="str">
            <v>1.6.2</v>
          </cell>
        </row>
        <row r="28">
          <cell r="C28" t="str">
            <v>1.6.3</v>
          </cell>
        </row>
        <row r="29">
          <cell r="C29" t="str">
            <v>1.6.4</v>
          </cell>
        </row>
        <row r="30">
          <cell r="C30" t="str">
            <v>1.6.5</v>
          </cell>
        </row>
        <row r="31">
          <cell r="C31" t="str">
            <v>1.6.6</v>
          </cell>
        </row>
        <row r="32">
          <cell r="C32" t="str">
            <v>1.6.7</v>
          </cell>
        </row>
        <row r="33">
          <cell r="C33" t="str">
            <v>1.7.1</v>
          </cell>
        </row>
        <row r="34">
          <cell r="C34" t="str">
            <v>1.7.2</v>
          </cell>
        </row>
        <row r="35">
          <cell r="C35" t="str">
            <v>2.1</v>
          </cell>
        </row>
        <row r="36">
          <cell r="C36" t="str">
            <v>2.1.1</v>
          </cell>
        </row>
        <row r="37">
          <cell r="C37" t="str">
            <v>Mod.1</v>
          </cell>
        </row>
        <row r="38">
          <cell r="C38" t="str">
            <v>Mod.2</v>
          </cell>
        </row>
        <row r="39">
          <cell r="C39" t="str">
            <v>2.1.2.c</v>
          </cell>
        </row>
        <row r="40">
          <cell r="C40" t="str">
            <v>2.1.2.d</v>
          </cell>
        </row>
        <row r="41">
          <cell r="C41" t="str">
            <v>2.1.2.1</v>
          </cell>
        </row>
        <row r="42">
          <cell r="C42" t="str">
            <v>2.1.2.2</v>
          </cell>
        </row>
        <row r="43">
          <cell r="C43" t="str">
            <v>2.1.2.3</v>
          </cell>
        </row>
        <row r="44">
          <cell r="C44" t="str">
            <v>2.1.2.4</v>
          </cell>
        </row>
        <row r="45">
          <cell r="C45" t="str">
            <v>2.1.2.5</v>
          </cell>
        </row>
        <row r="46">
          <cell r="C46" t="str">
            <v>2.1.2.6</v>
          </cell>
        </row>
        <row r="47">
          <cell r="C47" t="str">
            <v>2.2.1</v>
          </cell>
        </row>
        <row r="48">
          <cell r="C48" t="str">
            <v>2.2.2</v>
          </cell>
        </row>
        <row r="49">
          <cell r="C49" t="str">
            <v>2.2.3</v>
          </cell>
        </row>
        <row r="50">
          <cell r="C50" t="str">
            <v>2.2.4</v>
          </cell>
        </row>
        <row r="51">
          <cell r="C51" t="str">
            <v>2.2.5</v>
          </cell>
        </row>
        <row r="52">
          <cell r="C52" t="str">
            <v>2.2.6</v>
          </cell>
        </row>
        <row r="53">
          <cell r="C53" t="str">
            <v>2.2.7</v>
          </cell>
        </row>
        <row r="54">
          <cell r="C54" t="str">
            <v>2.2.8</v>
          </cell>
        </row>
        <row r="55">
          <cell r="C55" t="str">
            <v>2.2.9</v>
          </cell>
        </row>
        <row r="56">
          <cell r="C56" t="str">
            <v>2.2.10</v>
          </cell>
        </row>
        <row r="57">
          <cell r="C57" t="str">
            <v>2.2.11</v>
          </cell>
        </row>
        <row r="58">
          <cell r="C58" t="str">
            <v>2.2.12</v>
          </cell>
        </row>
        <row r="59">
          <cell r="C59" t="str">
            <v>2.2.13</v>
          </cell>
        </row>
        <row r="60">
          <cell r="C60" t="str">
            <v>2.2.14</v>
          </cell>
        </row>
        <row r="61">
          <cell r="C61" t="str">
            <v>Mod.3</v>
          </cell>
        </row>
        <row r="62">
          <cell r="C62" t="str">
            <v>3.1</v>
          </cell>
        </row>
        <row r="63">
          <cell r="C63" t="str">
            <v>4.1</v>
          </cell>
        </row>
        <row r="64">
          <cell r="C64" t="str">
            <v>5.1.1</v>
          </cell>
        </row>
        <row r="65">
          <cell r="C65" t="str">
            <v>5.1.2</v>
          </cell>
        </row>
        <row r="66">
          <cell r="C66" t="str">
            <v>5.1.2.1</v>
          </cell>
        </row>
        <row r="67">
          <cell r="C67" t="str">
            <v>5.1.2.2</v>
          </cell>
        </row>
        <row r="68">
          <cell r="C68" t="str">
            <v>5.1.2.3</v>
          </cell>
        </row>
        <row r="69">
          <cell r="C69" t="str">
            <v>5.1.2.4</v>
          </cell>
        </row>
        <row r="70">
          <cell r="C70" t="str">
            <v>5.1.2.5</v>
          </cell>
        </row>
        <row r="73">
          <cell r="C73" t="str">
            <v>6.1.1</v>
          </cell>
        </row>
        <row r="74">
          <cell r="C74" t="str">
            <v>6.1.2</v>
          </cell>
        </row>
        <row r="75">
          <cell r="C75" t="str">
            <v>6.1.3</v>
          </cell>
        </row>
        <row r="76">
          <cell r="C76" t="str">
            <v>6.1.4</v>
          </cell>
        </row>
        <row r="77">
          <cell r="C77" t="str">
            <v>6.1.5</v>
          </cell>
        </row>
        <row r="78">
          <cell r="C78" t="str">
            <v>6.2.1</v>
          </cell>
        </row>
        <row r="79">
          <cell r="C79" t="str">
            <v>6.2.2</v>
          </cell>
        </row>
        <row r="80">
          <cell r="C80" t="str">
            <v>6.2.3</v>
          </cell>
        </row>
        <row r="81">
          <cell r="C81" t="str">
            <v>6.2.4</v>
          </cell>
        </row>
        <row r="82">
          <cell r="C82" t="str">
            <v>6.2.5</v>
          </cell>
        </row>
        <row r="83">
          <cell r="C83" t="str">
            <v>F.4</v>
          </cell>
        </row>
        <row r="84">
          <cell r="C84" t="str">
            <v>F.5</v>
          </cell>
        </row>
        <row r="85">
          <cell r="C85" t="str">
            <v>F.6</v>
          </cell>
        </row>
        <row r="86">
          <cell r="C86" t="str">
            <v>F.7</v>
          </cell>
        </row>
        <row r="87">
          <cell r="C87" t="str">
            <v>7.1.1</v>
          </cell>
        </row>
        <row r="88">
          <cell r="C88" t="str">
            <v>7.1.2</v>
          </cell>
        </row>
        <row r="89">
          <cell r="C89" t="str">
            <v>7.1.3</v>
          </cell>
        </row>
        <row r="90">
          <cell r="C90" t="str">
            <v>7.1.4</v>
          </cell>
        </row>
        <row r="91">
          <cell r="C91" t="str">
            <v>7.1.5</v>
          </cell>
        </row>
        <row r="92">
          <cell r="C92" t="str">
            <v>7.1.6</v>
          </cell>
        </row>
        <row r="93">
          <cell r="C93" t="str">
            <v>7.1.7</v>
          </cell>
        </row>
        <row r="94">
          <cell r="C94" t="str">
            <v>7.2.1</v>
          </cell>
        </row>
        <row r="110">
          <cell r="C110" t="str">
            <v>8.1</v>
          </cell>
        </row>
        <row r="111">
          <cell r="C111" t="str">
            <v>8.1.1</v>
          </cell>
        </row>
        <row r="112">
          <cell r="C112" t="str">
            <v>8.1.2</v>
          </cell>
        </row>
        <row r="113">
          <cell r="C113" t="str">
            <v>8.1.2.1</v>
          </cell>
        </row>
        <row r="114">
          <cell r="C114" t="str">
            <v>8.1.3</v>
          </cell>
        </row>
        <row r="115">
          <cell r="C115" t="str">
            <v>8.1.4</v>
          </cell>
        </row>
        <row r="116">
          <cell r="C116">
            <v>9</v>
          </cell>
        </row>
        <row r="117">
          <cell r="C117">
            <v>9.1</v>
          </cell>
        </row>
        <row r="118">
          <cell r="C118" t="str">
            <v>9.1.a</v>
          </cell>
        </row>
        <row r="119">
          <cell r="C119" t="str">
            <v>9.1.1</v>
          </cell>
        </row>
        <row r="120">
          <cell r="C120" t="str">
            <v>9.1.1.1</v>
          </cell>
        </row>
        <row r="121">
          <cell r="C121" t="str">
            <v>9.1.1.2</v>
          </cell>
        </row>
        <row r="122">
          <cell r="C122" t="str">
            <v>9.1.1.3</v>
          </cell>
        </row>
        <row r="123">
          <cell r="C123" t="str">
            <v>9.1.1.4</v>
          </cell>
        </row>
        <row r="124">
          <cell r="C124" t="str">
            <v>9.1.1.5</v>
          </cell>
        </row>
        <row r="125">
          <cell r="C125" t="str">
            <v>9.1.1.6</v>
          </cell>
        </row>
        <row r="126">
          <cell r="C126" t="str">
            <v>9.1.1.7</v>
          </cell>
        </row>
        <row r="127">
          <cell r="C127" t="str">
            <v>9.1.1.8</v>
          </cell>
        </row>
        <row r="128">
          <cell r="C128" t="str">
            <v>9.1.1.9</v>
          </cell>
        </row>
        <row r="129">
          <cell r="C129" t="str">
            <v>9.1.1.10</v>
          </cell>
        </row>
        <row r="130">
          <cell r="C130" t="str">
            <v>9.1.1.11</v>
          </cell>
        </row>
        <row r="131">
          <cell r="C131" t="str">
            <v>9.1.2</v>
          </cell>
        </row>
        <row r="132">
          <cell r="C132" t="str">
            <v>9.1.2.1</v>
          </cell>
        </row>
        <row r="133">
          <cell r="C133" t="str">
            <v>9.1.2.2</v>
          </cell>
        </row>
        <row r="134">
          <cell r="C134" t="str">
            <v>9.1.2.3</v>
          </cell>
        </row>
        <row r="135">
          <cell r="C135" t="str">
            <v>9.1.3</v>
          </cell>
        </row>
        <row r="136">
          <cell r="C136" t="str">
            <v>9.1.3.1</v>
          </cell>
        </row>
        <row r="137">
          <cell r="C137" t="str">
            <v>9.1.3.2</v>
          </cell>
        </row>
        <row r="138">
          <cell r="C138" t="str">
            <v>9.1.4</v>
          </cell>
        </row>
        <row r="140">
          <cell r="C140" t="str">
            <v>9.1.5</v>
          </cell>
        </row>
        <row r="141">
          <cell r="C141" t="str">
            <v>9.1.5.1</v>
          </cell>
        </row>
        <row r="142">
          <cell r="C142" t="str">
            <v>9.1.5.2</v>
          </cell>
        </row>
        <row r="143">
          <cell r="C143" t="str">
            <v>9.1.5.3</v>
          </cell>
        </row>
        <row r="144">
          <cell r="C144" t="str">
            <v>9.1.5.4</v>
          </cell>
        </row>
        <row r="145">
          <cell r="C145" t="str">
            <v>9.1.5.5</v>
          </cell>
        </row>
        <row r="146">
          <cell r="C146" t="str">
            <v>9.1.5.6</v>
          </cell>
        </row>
        <row r="147">
          <cell r="C147" t="str">
            <v>9.1.5.7</v>
          </cell>
        </row>
        <row r="148">
          <cell r="C148" t="str">
            <v>9.1.5.8</v>
          </cell>
        </row>
        <row r="149">
          <cell r="C149" t="str">
            <v>9.1.5.9</v>
          </cell>
        </row>
        <row r="150">
          <cell r="C150" t="str">
            <v>9.1.5.10</v>
          </cell>
        </row>
        <row r="151">
          <cell r="C151" t="str">
            <v>9.1.5.11</v>
          </cell>
        </row>
        <row r="152">
          <cell r="C152" t="str">
            <v>9.1.6</v>
          </cell>
        </row>
        <row r="153">
          <cell r="C153" t="str">
            <v>9.1.6.1</v>
          </cell>
        </row>
        <row r="154">
          <cell r="C154" t="str">
            <v>9.1.6.2</v>
          </cell>
        </row>
        <row r="155">
          <cell r="C155" t="str">
            <v>9.1.6.3</v>
          </cell>
        </row>
        <row r="156">
          <cell r="C156" t="str">
            <v>9.1.6.4</v>
          </cell>
        </row>
        <row r="157">
          <cell r="C157" t="str">
            <v>9.1.6.5</v>
          </cell>
        </row>
        <row r="158">
          <cell r="C158" t="str">
            <v>9.1.6.6</v>
          </cell>
        </row>
        <row r="159">
          <cell r="C159" t="str">
            <v>9.1.6.7</v>
          </cell>
        </row>
        <row r="160">
          <cell r="C160">
            <v>9.1999999999999993</v>
          </cell>
        </row>
        <row r="161">
          <cell r="C161">
            <v>9.3000000000000007</v>
          </cell>
        </row>
        <row r="162">
          <cell r="C162" t="str">
            <v>9.4.1</v>
          </cell>
        </row>
        <row r="163">
          <cell r="C163" t="str">
            <v>9.4.2</v>
          </cell>
        </row>
        <row r="164">
          <cell r="C164">
            <v>9.5</v>
          </cell>
        </row>
        <row r="165">
          <cell r="C165">
            <v>9.6</v>
          </cell>
        </row>
      </sheetData>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E5CA35-55A8-4E35-85D4-1CD4FFC2ECF7}" name="Tabla1" displayName="Tabla1" ref="A1:Q84" totalsRowShown="0" headerRowDxfId="18" dataDxfId="0" headerRowBorderDxfId="19" tableBorderDxfId="20">
  <autoFilter ref="A1:Q84" xr:uid="{389E8EA0-E9ED-449A-B52E-4BBE7BDE6D97}"/>
  <tableColumns count="17">
    <tableColumn id="1" xr3:uid="{E44A4864-E6CF-4C40-A88E-2A9201A20FFB}" name="Código" dataDxfId="17"/>
    <tableColumn id="2" xr3:uid="{DF2081C1-AA81-4704-BBD5-947514853601}" name="de la base" dataDxfId="16"/>
    <tableColumn id="3" xr3:uid="{91385928-1598-4708-8278-3E03680644BD}" name="Fo V" dataDxfId="15">
      <calculatedColumnFormula>D2=E2</calculatedColumnFormula>
    </tableColumn>
    <tableColumn id="4" xr3:uid="{DC459B32-302D-445D-8553-28894DDA512E}" name="Nombre de la base" dataDxfId="14">
      <calculatedColumnFormula>Calculos!B2</calculatedColumnFormula>
    </tableColumn>
    <tableColumn id="5" xr3:uid="{4F70EB39-69B2-4546-B1FC-B6E9FC3F0CDC}" name="Nombre del Indicador" dataDxfId="13"/>
    <tableColumn id="6" xr3:uid="{EA298074-5572-42AC-9BE2-B8F8CAAB7994}" name="Tipo" dataDxfId="12"/>
    <tableColumn id="7" xr3:uid="{97E124CC-955A-431D-8461-2F160DCD424A}" name="Definición Conceptual" dataDxfId="11"/>
    <tableColumn id="8" xr3:uid="{2054C8E9-66AE-4081-8969-D17FB8B197FB}" name="Fórmula de Cálculo" dataDxfId="10"/>
    <tableColumn id="9" xr3:uid="{E48AAB54-12F1-463A-8B33-9BB10C8168BC}" name="Interpretación" dataDxfId="9"/>
    <tableColumn id="10" xr3:uid="{54EDCA04-CF58-4E85-9BC2-74D26A2F4263}" name="Unidad de_x000a_ Medida" dataDxfId="8"/>
    <tableColumn id="11" xr3:uid="{DA9242EC-93AB-4AA1-8E42-3ACE4B35787A}" name="Cobertura" dataDxfId="7"/>
    <tableColumn id="12" xr3:uid="{EE0A097A-83EE-44F6-9CC5-45FF0C7B1575}" name="Desagregación" dataDxfId="6"/>
    <tableColumn id="13" xr3:uid="{8456DEB3-D835-4983-A95B-9EF5E2F32417}" name="Periodicidad" dataDxfId="5"/>
    <tableColumn id="14" xr3:uid="{60C3EBFA-6C4C-4E1F-A8DE-871656DA67A2}" name="Fuente" dataDxfId="4"/>
    <tableColumn id="15" xr3:uid="{1E0A48DE-AE14-4E25-A378-7EE5E0730B36}" name="Disponibildad_x000a_ (desde/hasta)" dataDxfId="3"/>
    <tableColumn id="16" xr3:uid="{360EE95D-E7CD-4B23-8C14-16D4F7B1A112}" name="Tipo de operación_x000a_ estadística" dataDxfId="2"/>
    <tableColumn id="17" xr3:uid="{8E469AC4-BDB8-4593-8C5C-C655B72B8AAC}" name="Observaciones" dataDxfId="1"/>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26"/>
  <sheetViews>
    <sheetView tabSelected="1" zoomScale="70" zoomScaleNormal="70" workbookViewId="0">
      <pane xSplit="2" ySplit="2" topLeftCell="C963" activePane="bottomRight" state="frozen"/>
      <selection pane="topRight" activeCell="Y829" sqref="Y829"/>
      <selection pane="bottomLeft" activeCell="Y829" sqref="Y829"/>
      <selection pane="bottomRight" activeCell="M1028" sqref="M1028"/>
    </sheetView>
  </sheetViews>
  <sheetFormatPr baseColWidth="10" defaultColWidth="9.28515625" defaultRowHeight="12" x14ac:dyDescent="0.2"/>
  <cols>
    <col min="1" max="22" width="16.140625" style="1" bestFit="1" customWidth="1"/>
    <col min="23" max="23" width="20.7109375" style="1" customWidth="1"/>
    <col min="24" max="24" width="17.28515625" style="1" bestFit="1" customWidth="1"/>
    <col min="25" max="26" width="16.42578125" style="1" bestFit="1" customWidth="1"/>
    <col min="27" max="27" width="17.28515625" style="1" bestFit="1" customWidth="1"/>
    <col min="28" max="16384" width="9.28515625" style="1"/>
  </cols>
  <sheetData>
    <row r="1" spans="1:24" ht="13.5" thickBot="1" x14ac:dyDescent="0.25">
      <c r="A1" s="26"/>
      <c r="B1" s="26"/>
      <c r="C1" s="26"/>
      <c r="D1" s="26"/>
      <c r="E1" s="26"/>
      <c r="F1" s="26"/>
      <c r="G1" s="26"/>
      <c r="H1" s="26"/>
      <c r="I1" s="26"/>
      <c r="J1" s="26"/>
      <c r="K1" s="26"/>
      <c r="L1" s="26"/>
      <c r="M1" s="26"/>
      <c r="N1" s="26"/>
      <c r="O1" s="26"/>
      <c r="P1" s="26"/>
      <c r="Q1" s="26"/>
      <c r="R1" s="26"/>
      <c r="S1" s="26"/>
      <c r="T1" s="26"/>
      <c r="U1" s="26"/>
      <c r="V1" s="26"/>
    </row>
    <row r="2" spans="1:24" ht="13.5" thickTop="1" x14ac:dyDescent="0.2">
      <c r="A2" s="28" t="s">
        <v>0</v>
      </c>
      <c r="B2" s="28" t="s">
        <v>1</v>
      </c>
      <c r="C2" s="28">
        <v>2000</v>
      </c>
      <c r="D2" s="28">
        <v>2001</v>
      </c>
      <c r="E2" s="28">
        <v>2002</v>
      </c>
      <c r="F2" s="28">
        <v>2003</v>
      </c>
      <c r="G2" s="28">
        <v>2004</v>
      </c>
      <c r="H2" s="28">
        <v>2005</v>
      </c>
      <c r="I2" s="28">
        <v>2006</v>
      </c>
      <c r="J2" s="28">
        <v>2007</v>
      </c>
      <c r="K2" s="28">
        <v>2008</v>
      </c>
      <c r="L2" s="28">
        <v>2009</v>
      </c>
      <c r="M2" s="28">
        <v>2010</v>
      </c>
      <c r="N2" s="28">
        <v>2011</v>
      </c>
      <c r="O2" s="28">
        <v>2012</v>
      </c>
      <c r="P2" s="28">
        <v>2013</v>
      </c>
      <c r="Q2" s="28">
        <v>2014</v>
      </c>
      <c r="R2" s="28">
        <v>2015</v>
      </c>
      <c r="S2" s="28">
        <v>2016</v>
      </c>
      <c r="T2" s="28">
        <v>2017</v>
      </c>
      <c r="U2" s="28">
        <v>2018</v>
      </c>
      <c r="V2" s="28">
        <v>2019</v>
      </c>
    </row>
    <row r="3" spans="1:24" ht="38.25" x14ac:dyDescent="0.2">
      <c r="A3" s="28" t="s">
        <v>2</v>
      </c>
      <c r="B3" s="28" t="s">
        <v>3</v>
      </c>
      <c r="C3" s="28">
        <v>51100</v>
      </c>
      <c r="D3" s="28">
        <v>51100</v>
      </c>
      <c r="E3" s="28">
        <v>51100</v>
      </c>
      <c r="F3" s="28">
        <v>51100</v>
      </c>
      <c r="G3" s="28">
        <v>51100</v>
      </c>
      <c r="H3" s="28">
        <v>51100</v>
      </c>
      <c r="I3" s="28">
        <v>51100</v>
      </c>
      <c r="J3" s="28">
        <v>51100</v>
      </c>
      <c r="K3" s="28">
        <v>51100</v>
      </c>
      <c r="L3" s="28">
        <v>51100</v>
      </c>
      <c r="M3" s="28">
        <v>51100</v>
      </c>
      <c r="N3" s="28">
        <v>51100</v>
      </c>
      <c r="O3" s="28">
        <v>51100</v>
      </c>
      <c r="P3" s="28">
        <v>51100</v>
      </c>
      <c r="Q3" s="28">
        <v>51100</v>
      </c>
      <c r="R3" s="28">
        <v>51100</v>
      </c>
      <c r="S3" s="28">
        <v>51100</v>
      </c>
      <c r="T3" s="28">
        <v>51100</v>
      </c>
      <c r="U3" s="28">
        <v>51100</v>
      </c>
      <c r="V3" s="28">
        <v>51100</v>
      </c>
    </row>
    <row r="4" spans="1:24" ht="63.75" x14ac:dyDescent="0.2">
      <c r="A4" s="28" t="s">
        <v>4</v>
      </c>
      <c r="B4" s="28" t="s">
        <v>5</v>
      </c>
      <c r="C4" s="28">
        <v>37689851000</v>
      </c>
      <c r="D4" s="28">
        <v>47038670612</v>
      </c>
      <c r="E4" s="28">
        <v>57610914000</v>
      </c>
      <c r="F4" s="28">
        <v>67620709673</v>
      </c>
      <c r="G4" s="28">
        <v>78160451000</v>
      </c>
      <c r="H4" s="28">
        <v>91911046645</v>
      </c>
      <c r="I4" s="28">
        <v>104040465534</v>
      </c>
      <c r="J4" s="28">
        <v>123712832363</v>
      </c>
      <c r="K4" s="28">
        <v>151880500000</v>
      </c>
      <c r="L4" s="28">
        <v>209818000000</v>
      </c>
      <c r="M4" s="28">
        <v>235587000000</v>
      </c>
      <c r="N4" s="28">
        <v>266322330000</v>
      </c>
      <c r="O4" s="28">
        <v>291376391063</v>
      </c>
      <c r="P4" s="28">
        <v>314425000000</v>
      </c>
      <c r="Q4" s="28">
        <v>352236000000</v>
      </c>
      <c r="R4" s="28">
        <v>403464000000</v>
      </c>
      <c r="S4" s="28">
        <v>416153442432</v>
      </c>
      <c r="T4" s="28">
        <v>460241195357</v>
      </c>
      <c r="U4" s="28">
        <v>474792000000</v>
      </c>
      <c r="V4" s="28">
        <v>473402191716</v>
      </c>
    </row>
    <row r="5" spans="1:24" ht="38.25" x14ac:dyDescent="0.2">
      <c r="A5" s="28" t="s">
        <v>4</v>
      </c>
      <c r="B5" s="28" t="s">
        <v>6</v>
      </c>
      <c r="C5" s="28">
        <v>39476700000</v>
      </c>
      <c r="D5" s="28">
        <v>48792600000</v>
      </c>
      <c r="E5" s="28">
        <v>59322456055.089996</v>
      </c>
      <c r="F5" s="28">
        <v>69684917227.410004</v>
      </c>
      <c r="G5" s="28">
        <v>79145700000</v>
      </c>
      <c r="H5" s="28">
        <v>91942274388</v>
      </c>
      <c r="I5" s="28">
        <v>104041124015</v>
      </c>
      <c r="J5" s="28">
        <v>126635832263</v>
      </c>
      <c r="K5" s="28">
        <v>168392053744</v>
      </c>
      <c r="L5" s="28">
        <v>205729999300</v>
      </c>
      <c r="M5" s="28">
        <v>238979602820</v>
      </c>
      <c r="N5" s="28">
        <v>266322330000</v>
      </c>
      <c r="O5" s="28">
        <v>291376391063</v>
      </c>
      <c r="P5" s="28">
        <v>318987102256</v>
      </c>
      <c r="Q5" s="28">
        <v>353248527770.75</v>
      </c>
      <c r="R5" s="28">
        <v>398536696300</v>
      </c>
      <c r="S5" s="28">
        <v>414853442432</v>
      </c>
      <c r="T5" s="28">
        <v>465945208888.07001</v>
      </c>
      <c r="U5" s="28">
        <v>468680809830.31</v>
      </c>
      <c r="V5" s="28">
        <v>473584222971.35999</v>
      </c>
    </row>
    <row r="6" spans="1:24" ht="63.75" x14ac:dyDescent="0.2">
      <c r="A6" s="28" t="s">
        <v>4</v>
      </c>
      <c r="B6" s="28" t="s">
        <v>7</v>
      </c>
      <c r="C6" s="28">
        <f t="shared" ref="C6:V6" si="0">C8*0.3713</f>
        <v>0</v>
      </c>
      <c r="D6" s="28">
        <f t="shared" si="0"/>
        <v>3406968518.6279001</v>
      </c>
      <c r="E6" s="28">
        <f t="shared" si="0"/>
        <v>3924082935.4465122</v>
      </c>
      <c r="F6" s="28">
        <f t="shared" si="0"/>
        <v>4758530713.1114874</v>
      </c>
      <c r="G6" s="28">
        <f t="shared" si="0"/>
        <v>6104304942.4798002</v>
      </c>
      <c r="H6" s="28">
        <f t="shared" si="0"/>
        <v>6583657305.6454048</v>
      </c>
      <c r="I6" s="28">
        <f t="shared" si="0"/>
        <v>7382740765.9926004</v>
      </c>
      <c r="J6" s="28">
        <f t="shared" si="0"/>
        <v>9043269987.9209995</v>
      </c>
      <c r="K6" s="28">
        <f t="shared" si="0"/>
        <v>11271044810.068001</v>
      </c>
      <c r="L6" s="28">
        <f t="shared" si="0"/>
        <v>16047123717.3906</v>
      </c>
      <c r="M6" s="28">
        <f t="shared" si="0"/>
        <v>16694308967.467201</v>
      </c>
      <c r="N6" s="28">
        <f t="shared" si="0"/>
        <v>18048836116.093689</v>
      </c>
      <c r="O6" s="28">
        <f t="shared" si="0"/>
        <v>19486725022.570999</v>
      </c>
      <c r="P6" s="28">
        <f t="shared" si="0"/>
        <v>22816435125.366333</v>
      </c>
      <c r="Q6" s="28">
        <f t="shared" si="0"/>
        <v>24779708959.451229</v>
      </c>
      <c r="R6" s="28">
        <f t="shared" si="0"/>
        <v>27158596459.185001</v>
      </c>
      <c r="S6" s="28">
        <f t="shared" si="0"/>
        <v>29845522952.890896</v>
      </c>
      <c r="T6" s="28">
        <f t="shared" si="0"/>
        <v>40819039329.664505</v>
      </c>
      <c r="U6" s="28">
        <f t="shared" si="0"/>
        <v>36640312482.031052</v>
      </c>
      <c r="V6" s="28">
        <f t="shared" si="0"/>
        <v>35100199343.007141</v>
      </c>
    </row>
    <row r="7" spans="1:24" ht="38.25" x14ac:dyDescent="0.2">
      <c r="A7" s="28" t="s">
        <v>4</v>
      </c>
      <c r="B7" s="28" t="s">
        <v>8</v>
      </c>
      <c r="C7" s="28">
        <f t="shared" ref="C7:U7" si="1">C8+C9+C24+C25+C26+C27+C28+C29+C30+C31</f>
        <v>30548343279</v>
      </c>
      <c r="D7" s="28">
        <f t="shared" si="1"/>
        <v>44929805100</v>
      </c>
      <c r="E7" s="28">
        <f t="shared" si="1"/>
        <v>53509078431.239998</v>
      </c>
      <c r="F7" s="28">
        <f t="shared" si="1"/>
        <v>61914462634.989998</v>
      </c>
      <c r="G7" s="28">
        <f t="shared" si="1"/>
        <v>74409871580</v>
      </c>
      <c r="H7" s="28">
        <f t="shared" si="1"/>
        <v>84785247755.080002</v>
      </c>
      <c r="I7" s="28">
        <f t="shared" si="1"/>
        <v>99618070062</v>
      </c>
      <c r="J7" s="28">
        <f t="shared" si="1"/>
        <v>119986040584</v>
      </c>
      <c r="K7" s="28">
        <f t="shared" si="1"/>
        <v>150036483387</v>
      </c>
      <c r="L7" s="28">
        <f t="shared" si="1"/>
        <v>186537777805</v>
      </c>
      <c r="M7" s="28">
        <f t="shared" si="1"/>
        <v>219747952091.14661</v>
      </c>
      <c r="N7" s="28">
        <f t="shared" si="1"/>
        <v>251350676370.77039</v>
      </c>
      <c r="O7" s="28">
        <f t="shared" si="1"/>
        <v>272595104843.79926</v>
      </c>
      <c r="P7" s="28">
        <f t="shared" si="1"/>
        <v>308969366414.31281</v>
      </c>
      <c r="Q7" s="28">
        <f t="shared" si="1"/>
        <v>338337707639.15002</v>
      </c>
      <c r="R7" s="28">
        <f t="shared" si="1"/>
        <v>367378388917.82001</v>
      </c>
      <c r="S7" s="28">
        <f t="shared" si="1"/>
        <v>386746635381.48279</v>
      </c>
      <c r="T7" s="28">
        <f t="shared" si="1"/>
        <v>437528590833.54651</v>
      </c>
      <c r="U7" s="28">
        <f t="shared" si="1"/>
        <v>445171037161.25665</v>
      </c>
      <c r="V7" s="28">
        <f>SUM(V8:V31)</f>
        <v>617421348654.26025</v>
      </c>
    </row>
    <row r="8" spans="1:24" ht="76.5" x14ac:dyDescent="0.2">
      <c r="A8" s="28" t="s">
        <v>4</v>
      </c>
      <c r="B8" s="28" t="s">
        <v>9</v>
      </c>
      <c r="C8" s="28">
        <v>0</v>
      </c>
      <c r="D8" s="28">
        <v>9175783783</v>
      </c>
      <c r="E8" s="28">
        <v>10568496998.24</v>
      </c>
      <c r="F8" s="28">
        <v>12815865103.99</v>
      </c>
      <c r="G8" s="28">
        <v>16440358046</v>
      </c>
      <c r="H8" s="28">
        <v>17731368989.080002</v>
      </c>
      <c r="I8" s="28">
        <v>19883492502</v>
      </c>
      <c r="J8" s="28">
        <v>24355696170</v>
      </c>
      <c r="K8" s="28">
        <v>30355628360</v>
      </c>
      <c r="L8" s="28">
        <v>43218754962</v>
      </c>
      <c r="M8" s="28">
        <v>44961780144</v>
      </c>
      <c r="N8" s="28">
        <v>48609846797.989998</v>
      </c>
      <c r="O8" s="28">
        <v>52482426670</v>
      </c>
      <c r="P8" s="28">
        <v>61450134999.639999</v>
      </c>
      <c r="Q8" s="28">
        <v>66737702557.099998</v>
      </c>
      <c r="R8" s="28">
        <v>73144617450</v>
      </c>
      <c r="S8" s="28">
        <v>80381155273.070007</v>
      </c>
      <c r="T8" s="28">
        <v>109935468165</v>
      </c>
      <c r="U8" s="28">
        <v>98681154004.931458</v>
      </c>
      <c r="V8" s="28">
        <v>94533259744.161438</v>
      </c>
    </row>
    <row r="9" spans="1:24" ht="51" x14ac:dyDescent="0.2">
      <c r="A9" s="28" t="s">
        <v>4</v>
      </c>
      <c r="B9" s="28" t="s">
        <v>10</v>
      </c>
      <c r="C9" s="28">
        <v>15670154196</v>
      </c>
      <c r="D9" s="28">
        <v>18445275403</v>
      </c>
      <c r="E9" s="28">
        <v>21339954227</v>
      </c>
      <c r="F9" s="28">
        <v>23958820773</v>
      </c>
      <c r="G9" s="28">
        <v>26534192204</v>
      </c>
      <c r="H9" s="28">
        <v>31497215838</v>
      </c>
      <c r="I9" s="28">
        <v>36295105451</v>
      </c>
      <c r="J9" s="28">
        <v>42095207984</v>
      </c>
      <c r="K9" s="28">
        <v>56348055626</v>
      </c>
      <c r="L9" s="28">
        <f t="shared" ref="L9:V9" si="2">SUM(L10:L23)</f>
        <v>64113637104</v>
      </c>
      <c r="M9" s="28">
        <f t="shared" si="2"/>
        <v>76934099201.146606</v>
      </c>
      <c r="N9" s="28">
        <f t="shared" si="2"/>
        <v>90269662670.780396</v>
      </c>
      <c r="O9" s="28">
        <f t="shared" si="2"/>
        <v>97025836282.79924</v>
      </c>
      <c r="P9" s="28">
        <f t="shared" si="2"/>
        <v>107952344759.67282</v>
      </c>
      <c r="Q9" s="28">
        <f t="shared" si="2"/>
        <v>119998173269.05006</v>
      </c>
      <c r="R9" s="28">
        <f t="shared" si="2"/>
        <v>134180473687.82002</v>
      </c>
      <c r="S9" s="28">
        <f t="shared" si="2"/>
        <v>139689157682.41278</v>
      </c>
      <c r="T9" s="28">
        <f t="shared" si="2"/>
        <v>146329892347.54648</v>
      </c>
      <c r="U9" s="28">
        <f>SUM(U10:U23)</f>
        <v>159310790345.09003</v>
      </c>
      <c r="V9" s="28">
        <f t="shared" si="2"/>
        <v>163028783361.3653</v>
      </c>
    </row>
    <row r="10" spans="1:24" ht="63.75" x14ac:dyDescent="0.2">
      <c r="A10" s="28" t="s">
        <v>4</v>
      </c>
      <c r="B10" s="28" t="s">
        <v>11</v>
      </c>
      <c r="C10" s="28"/>
      <c r="D10" s="28"/>
      <c r="E10" s="28"/>
      <c r="F10" s="28"/>
      <c r="G10" s="28"/>
      <c r="H10" s="28"/>
      <c r="I10" s="28"/>
      <c r="J10" s="28"/>
      <c r="K10" s="28"/>
      <c r="L10" s="28">
        <v>11893010220</v>
      </c>
      <c r="M10" s="28">
        <v>13537618026.24641</v>
      </c>
      <c r="N10" s="28">
        <v>16197047622.093742</v>
      </c>
      <c r="O10" s="28">
        <v>10285334436.188786</v>
      </c>
      <c r="P10" s="28">
        <v>9399112218.1895618</v>
      </c>
      <c r="Q10" s="28">
        <v>9785142825.5245857</v>
      </c>
      <c r="R10" s="28">
        <v>10498442935.618654</v>
      </c>
      <c r="S10" s="28">
        <v>10534048064.781691</v>
      </c>
      <c r="T10" s="28">
        <v>11311107163.569321</v>
      </c>
      <c r="U10" s="28">
        <v>12197209339.274815</v>
      </c>
      <c r="V10" s="28">
        <v>15667853614.834486</v>
      </c>
    </row>
    <row r="11" spans="1:24" ht="63.75" x14ac:dyDescent="0.2">
      <c r="A11" s="28" t="s">
        <v>4</v>
      </c>
      <c r="B11" s="28" t="s">
        <v>12</v>
      </c>
      <c r="C11" s="28"/>
      <c r="D11" s="28"/>
      <c r="E11" s="28"/>
      <c r="F11" s="28"/>
      <c r="G11" s="28"/>
      <c r="H11" s="28"/>
      <c r="I11" s="28"/>
      <c r="J11" s="28"/>
      <c r="K11" s="28"/>
      <c r="L11" s="28"/>
      <c r="M11" s="28"/>
      <c r="N11" s="28"/>
      <c r="O11" s="28">
        <v>6320369585.6333809</v>
      </c>
      <c r="P11" s="28">
        <v>8027248573.2601852</v>
      </c>
      <c r="Q11" s="28">
        <v>8870447648.3662853</v>
      </c>
      <c r="R11" s="28">
        <v>9432573285.9445915</v>
      </c>
      <c r="S11" s="28">
        <v>10843300374.456545</v>
      </c>
      <c r="T11" s="28">
        <v>11469868917.887247</v>
      </c>
      <c r="U11" s="28">
        <v>12130801767.544605</v>
      </c>
      <c r="V11" s="28">
        <v>13820070776.905153</v>
      </c>
    </row>
    <row r="12" spans="1:24" ht="63.75" x14ac:dyDescent="0.2">
      <c r="A12" s="28" t="s">
        <v>4</v>
      </c>
      <c r="B12" s="28" t="s">
        <v>13</v>
      </c>
      <c r="C12" s="28"/>
      <c r="D12" s="28"/>
      <c r="E12" s="28"/>
      <c r="F12" s="28"/>
      <c r="G12" s="28"/>
      <c r="H12" s="28"/>
      <c r="I12" s="28"/>
      <c r="J12" s="28"/>
      <c r="K12" s="28"/>
      <c r="L12" s="28">
        <v>1535772824</v>
      </c>
      <c r="M12" s="28">
        <v>2413136724.5356283</v>
      </c>
      <c r="N12" s="28">
        <v>2152561938.2203264</v>
      </c>
      <c r="O12" s="28">
        <v>2535422750.8656197</v>
      </c>
      <c r="P12" s="28">
        <v>3111883176</v>
      </c>
      <c r="Q12" s="28">
        <v>3339857432.9822783</v>
      </c>
      <c r="R12" s="28">
        <v>3447468526.7683377</v>
      </c>
      <c r="S12" s="28">
        <v>3305898570.706882</v>
      </c>
      <c r="T12" s="28">
        <v>3438556523.1910954</v>
      </c>
      <c r="U12" s="28">
        <v>3960787219.4182944</v>
      </c>
      <c r="V12" s="28">
        <v>3577186022.7335582</v>
      </c>
      <c r="W12" s="12"/>
      <c r="X12" s="12"/>
    </row>
    <row r="13" spans="1:24" ht="63.75" x14ac:dyDescent="0.2">
      <c r="A13" s="28" t="s">
        <v>4</v>
      </c>
      <c r="B13" s="28" t="s">
        <v>14</v>
      </c>
      <c r="C13" s="28"/>
      <c r="D13" s="28"/>
      <c r="E13" s="28"/>
      <c r="F13" s="28"/>
      <c r="G13" s="28"/>
      <c r="H13" s="28"/>
      <c r="I13" s="28"/>
      <c r="J13" s="28"/>
      <c r="K13" s="28"/>
      <c r="L13" s="28">
        <v>3055057411</v>
      </c>
      <c r="M13" s="28">
        <v>3439253982.7965031</v>
      </c>
      <c r="N13" s="28">
        <v>4222816666.9779196</v>
      </c>
      <c r="O13" s="28">
        <v>4447583765.4292765</v>
      </c>
      <c r="P13" s="28">
        <v>4956419985.9004908</v>
      </c>
      <c r="Q13" s="28">
        <v>5153949443.4184923</v>
      </c>
      <c r="R13" s="28">
        <v>5940304068.5603962</v>
      </c>
      <c r="S13" s="28">
        <v>6082251249.2844534</v>
      </c>
      <c r="T13" s="28">
        <v>6144153834.0748081</v>
      </c>
      <c r="U13" s="28">
        <v>6263634510.1724567</v>
      </c>
      <c r="V13" s="28">
        <v>6410189652.9900236</v>
      </c>
      <c r="W13" s="12"/>
      <c r="X13" s="12"/>
    </row>
    <row r="14" spans="1:24" ht="76.5" x14ac:dyDescent="0.2">
      <c r="A14" s="28" t="s">
        <v>4</v>
      </c>
      <c r="B14" s="28" t="s">
        <v>15</v>
      </c>
      <c r="C14" s="28"/>
      <c r="D14" s="28"/>
      <c r="E14" s="28"/>
      <c r="F14" s="28"/>
      <c r="G14" s="28"/>
      <c r="H14" s="28"/>
      <c r="I14" s="28"/>
      <c r="J14" s="28"/>
      <c r="K14" s="28"/>
      <c r="L14" s="28">
        <v>2834834508</v>
      </c>
      <c r="M14" s="28">
        <v>4846275575.969451</v>
      </c>
      <c r="N14" s="28">
        <v>5523453217.8105059</v>
      </c>
      <c r="O14" s="28">
        <v>6069794425.3192539</v>
      </c>
      <c r="P14" s="28">
        <v>7035533185.9597692</v>
      </c>
      <c r="Q14" s="28">
        <v>8494171058.7297649</v>
      </c>
      <c r="R14" s="28">
        <v>8530488032.1654634</v>
      </c>
      <c r="S14" s="28">
        <v>8384156964.3942766</v>
      </c>
      <c r="T14" s="28">
        <v>8441567898.7820606</v>
      </c>
      <c r="U14" s="28">
        <v>9352318694.8256989</v>
      </c>
      <c r="V14" s="28">
        <v>7347203136.0565386</v>
      </c>
    </row>
    <row r="15" spans="1:24" ht="63.75" x14ac:dyDescent="0.2">
      <c r="A15" s="28" t="s">
        <v>4</v>
      </c>
      <c r="B15" s="28" t="s">
        <v>16</v>
      </c>
      <c r="C15" s="28"/>
      <c r="D15" s="28"/>
      <c r="E15" s="28"/>
      <c r="F15" s="28"/>
      <c r="G15" s="28"/>
      <c r="H15" s="28"/>
      <c r="I15" s="28"/>
      <c r="J15" s="28"/>
      <c r="K15" s="28"/>
      <c r="L15" s="28">
        <v>8022123906</v>
      </c>
      <c r="M15" s="28">
        <v>9886581824.2518005</v>
      </c>
      <c r="N15" s="28">
        <v>11240247003.270351</v>
      </c>
      <c r="O15" s="28">
        <v>11132162690.132164</v>
      </c>
      <c r="P15" s="28">
        <v>11512596308</v>
      </c>
      <c r="Q15" s="28">
        <v>12633443380.918789</v>
      </c>
      <c r="R15" s="28">
        <v>13973642156.417679</v>
      </c>
      <c r="S15" s="28">
        <v>15178265280.843756</v>
      </c>
      <c r="T15" s="28">
        <v>17553128953.592812</v>
      </c>
      <c r="U15" s="28">
        <v>15650538057.640503</v>
      </c>
      <c r="V15" s="28">
        <v>16491066614.78805</v>
      </c>
    </row>
    <row r="16" spans="1:24" ht="63.75" x14ac:dyDescent="0.2">
      <c r="A16" s="28" t="s">
        <v>4</v>
      </c>
      <c r="B16" s="28" t="s">
        <v>17</v>
      </c>
      <c r="C16" s="28"/>
      <c r="D16" s="28"/>
      <c r="E16" s="28"/>
      <c r="F16" s="28"/>
      <c r="G16" s="28"/>
      <c r="H16" s="28"/>
      <c r="I16" s="28"/>
      <c r="J16" s="28"/>
      <c r="K16" s="28"/>
      <c r="L16" s="28">
        <v>4341162799</v>
      </c>
      <c r="M16" s="28">
        <v>4250387455.437717</v>
      </c>
      <c r="N16" s="28">
        <v>4892915136.1003466</v>
      </c>
      <c r="O16" s="28">
        <v>5076498412.352479</v>
      </c>
      <c r="P16" s="28">
        <v>5536218096.9514942</v>
      </c>
      <c r="Q16" s="28">
        <v>5750814907.0628128</v>
      </c>
      <c r="R16" s="28">
        <v>5754520407.2087078</v>
      </c>
      <c r="S16" s="28">
        <v>5578332119.6406412</v>
      </c>
      <c r="T16" s="28">
        <v>5682505311.7383184</v>
      </c>
      <c r="U16" s="28">
        <v>6458765040.908556</v>
      </c>
      <c r="V16" s="28">
        <v>7103733965.6935797</v>
      </c>
    </row>
    <row r="17" spans="1:22" ht="63.75" x14ac:dyDescent="0.2">
      <c r="A17" s="28" t="s">
        <v>4</v>
      </c>
      <c r="B17" s="28" t="s">
        <v>18</v>
      </c>
      <c r="C17" s="28"/>
      <c r="D17" s="28"/>
      <c r="E17" s="28"/>
      <c r="F17" s="28"/>
      <c r="G17" s="28"/>
      <c r="H17" s="28"/>
      <c r="I17" s="28"/>
      <c r="J17" s="28"/>
      <c r="K17" s="28"/>
      <c r="L17" s="28">
        <v>1057395852</v>
      </c>
      <c r="M17" s="28">
        <v>977317056.31488013</v>
      </c>
      <c r="N17" s="28">
        <v>989615434.56073272</v>
      </c>
      <c r="O17" s="28">
        <v>1026796304.4439924</v>
      </c>
      <c r="P17" s="28">
        <v>1242331223.4059885</v>
      </c>
      <c r="Q17" s="28">
        <v>1483497905.391645</v>
      </c>
      <c r="R17" s="28">
        <v>6674731033.699564</v>
      </c>
      <c r="S17" s="28">
        <v>6933034518.9364958</v>
      </c>
      <c r="T17" s="28">
        <v>6998451989.7189789</v>
      </c>
      <c r="U17" s="28">
        <v>7357150516.7401657</v>
      </c>
      <c r="V17" s="28">
        <v>7756271226.372407</v>
      </c>
    </row>
    <row r="18" spans="1:22" ht="76.5" x14ac:dyDescent="0.2">
      <c r="A18" s="28" t="s">
        <v>4</v>
      </c>
      <c r="B18" s="28" t="s">
        <v>19</v>
      </c>
      <c r="C18" s="28"/>
      <c r="D18" s="28"/>
      <c r="E18" s="28"/>
      <c r="F18" s="28"/>
      <c r="G18" s="28"/>
      <c r="H18" s="28"/>
      <c r="I18" s="28"/>
      <c r="J18" s="28"/>
      <c r="K18" s="28"/>
      <c r="L18" s="28">
        <v>3493880898</v>
      </c>
      <c r="M18" s="28">
        <v>4161749323.3134122</v>
      </c>
      <c r="N18" s="28">
        <v>5233809367.7763968</v>
      </c>
      <c r="O18" s="28">
        <v>6210999725.1904573</v>
      </c>
      <c r="P18" s="28">
        <v>7555978421.1532373</v>
      </c>
      <c r="Q18" s="28">
        <v>8619313056.7596874</v>
      </c>
      <c r="R18" s="28">
        <v>10076377931.899231</v>
      </c>
      <c r="S18" s="28">
        <v>10044917148.407253</v>
      </c>
      <c r="T18" s="28">
        <v>10278900329.946051</v>
      </c>
      <c r="U18" s="28">
        <v>11137677838.261063</v>
      </c>
      <c r="V18" s="28">
        <v>10968661697.852106</v>
      </c>
    </row>
    <row r="19" spans="1:22" ht="76.5" x14ac:dyDescent="0.2">
      <c r="A19" s="28" t="s">
        <v>4</v>
      </c>
      <c r="B19" s="28" t="s">
        <v>20</v>
      </c>
      <c r="C19" s="28"/>
      <c r="D19" s="28"/>
      <c r="E19" s="28"/>
      <c r="F19" s="28"/>
      <c r="G19" s="28"/>
      <c r="H19" s="28"/>
      <c r="I19" s="28"/>
      <c r="J19" s="28"/>
      <c r="K19" s="28"/>
      <c r="L19" s="28">
        <v>4352395321</v>
      </c>
      <c r="M19" s="28">
        <v>5086282310.0921478</v>
      </c>
      <c r="N19" s="28">
        <v>5890770574.5077286</v>
      </c>
      <c r="O19" s="28">
        <v>6136783996.3627005</v>
      </c>
      <c r="P19" s="28">
        <v>6792443200.3972902</v>
      </c>
      <c r="Q19" s="28">
        <v>7390764713.7170715</v>
      </c>
      <c r="R19" s="28">
        <v>8025744169.3723106</v>
      </c>
      <c r="S19" s="28">
        <v>8391092090.1265612</v>
      </c>
      <c r="T19" s="28">
        <v>8614063284.3057594</v>
      </c>
      <c r="U19" s="28">
        <v>8940490873.7970295</v>
      </c>
      <c r="V19" s="28">
        <v>9392933987.3306522</v>
      </c>
    </row>
    <row r="20" spans="1:22" ht="63.75" x14ac:dyDescent="0.2">
      <c r="A20" s="28" t="s">
        <v>4</v>
      </c>
      <c r="B20" s="28" t="s">
        <v>21</v>
      </c>
      <c r="C20" s="28"/>
      <c r="D20" s="28"/>
      <c r="E20" s="28"/>
      <c r="F20" s="28"/>
      <c r="G20" s="28"/>
      <c r="H20" s="28"/>
      <c r="I20" s="28"/>
      <c r="J20" s="28"/>
      <c r="K20" s="28"/>
      <c r="L20" s="28">
        <v>370612247</v>
      </c>
      <c r="M20" s="28">
        <v>519933892.05617392</v>
      </c>
      <c r="N20" s="28">
        <v>706777520.71788538</v>
      </c>
      <c r="O20" s="28">
        <v>526687660.18420941</v>
      </c>
      <c r="P20" s="28">
        <v>591333904.65249968</v>
      </c>
      <c r="Q20" s="28">
        <v>635694451.58356798</v>
      </c>
      <c r="R20" s="28">
        <v>672268938.28038001</v>
      </c>
      <c r="S20" s="28">
        <v>723156732.56294751</v>
      </c>
      <c r="T20" s="28">
        <v>761634164.25764847</v>
      </c>
      <c r="U20" s="28">
        <v>818345700.45400584</v>
      </c>
      <c r="V20" s="28">
        <v>771028792.74487543</v>
      </c>
    </row>
    <row r="21" spans="1:22" ht="63.75" x14ac:dyDescent="0.2">
      <c r="A21" s="28" t="s">
        <v>4</v>
      </c>
      <c r="B21" s="28" t="s">
        <v>22</v>
      </c>
      <c r="C21" s="28"/>
      <c r="D21" s="28"/>
      <c r="E21" s="28"/>
      <c r="F21" s="28"/>
      <c r="G21" s="28"/>
      <c r="H21" s="28"/>
      <c r="I21" s="28"/>
      <c r="J21" s="28"/>
      <c r="K21" s="28"/>
      <c r="L21" s="28">
        <v>17870807935</v>
      </c>
      <c r="M21" s="28">
        <v>21695356878.685883</v>
      </c>
      <c r="N21" s="28">
        <v>26312006380.979912</v>
      </c>
      <c r="O21" s="28">
        <v>30013318214.126778</v>
      </c>
      <c r="P21" s="28">
        <v>33953644086.529694</v>
      </c>
      <c r="Q21" s="28">
        <v>38685408952.697777</v>
      </c>
      <c r="R21" s="28">
        <v>40658991009.050484</v>
      </c>
      <c r="S21" s="28">
        <v>42872613132.893089</v>
      </c>
      <c r="T21" s="28">
        <v>44876058303.801651</v>
      </c>
      <c r="U21" s="28">
        <v>53647605268.750427</v>
      </c>
      <c r="V21" s="28">
        <v>51958971372.90316</v>
      </c>
    </row>
    <row r="22" spans="1:22" ht="63.75" x14ac:dyDescent="0.2">
      <c r="A22" s="28" t="s">
        <v>4</v>
      </c>
      <c r="B22" s="28" t="s">
        <v>23</v>
      </c>
      <c r="C22" s="28"/>
      <c r="D22" s="28"/>
      <c r="E22" s="28"/>
      <c r="F22" s="28"/>
      <c r="G22" s="28"/>
      <c r="H22" s="28"/>
      <c r="I22" s="28"/>
      <c r="J22" s="28"/>
      <c r="K22" s="28"/>
      <c r="L22" s="28">
        <v>1498548592</v>
      </c>
      <c r="M22" s="28">
        <v>1847130778.9008951</v>
      </c>
      <c r="N22" s="28">
        <v>1903954275.9189417</v>
      </c>
      <c r="O22" s="28">
        <v>1981008564.7005842</v>
      </c>
      <c r="P22" s="28">
        <v>2485533040.694747</v>
      </c>
      <c r="Q22" s="28">
        <v>2804290397.8103075</v>
      </c>
      <c r="R22" s="28">
        <v>3716950860.4020734</v>
      </c>
      <c r="S22" s="28">
        <v>3948736028.4667072</v>
      </c>
      <c r="T22" s="28">
        <v>3818380803.2489214</v>
      </c>
      <c r="U22" s="28">
        <v>3849590433.550014</v>
      </c>
      <c r="V22" s="28">
        <v>3864919444.4925742</v>
      </c>
    </row>
    <row r="23" spans="1:22" ht="63.75" x14ac:dyDescent="0.2">
      <c r="A23" s="28" t="s">
        <v>4</v>
      </c>
      <c r="B23" s="28" t="s">
        <v>24</v>
      </c>
      <c r="C23" s="28"/>
      <c r="D23" s="28"/>
      <c r="E23" s="28"/>
      <c r="F23" s="28"/>
      <c r="G23" s="28"/>
      <c r="H23" s="28"/>
      <c r="I23" s="28"/>
      <c r="J23" s="28"/>
      <c r="K23" s="28"/>
      <c r="L23" s="28">
        <v>3788034591</v>
      </c>
      <c r="M23" s="28">
        <v>4273075372.5457015</v>
      </c>
      <c r="N23" s="28">
        <v>5003687531.8456011</v>
      </c>
      <c r="O23" s="28">
        <v>5263075751.8695631</v>
      </c>
      <c r="P23" s="28">
        <v>5752069338.5778704</v>
      </c>
      <c r="Q23" s="28">
        <v>6351377094.0870218</v>
      </c>
      <c r="R23" s="28">
        <v>6777970332.4321413</v>
      </c>
      <c r="S23" s="28">
        <v>6869355406.9114876</v>
      </c>
      <c r="T23" s="28">
        <v>6941514869.4318314</v>
      </c>
      <c r="U23" s="28">
        <v>7545875083.7524109</v>
      </c>
      <c r="V23" s="28">
        <v>7898693055.6681213</v>
      </c>
    </row>
    <row r="24" spans="1:22" ht="76.5" x14ac:dyDescent="0.2">
      <c r="A24" s="28" t="s">
        <v>4</v>
      </c>
      <c r="B24" s="28" t="s">
        <v>25</v>
      </c>
      <c r="C24" s="28">
        <v>7781223099</v>
      </c>
      <c r="D24" s="28">
        <v>9251092200</v>
      </c>
      <c r="E24" s="28">
        <v>11905369260</v>
      </c>
      <c r="F24" s="28">
        <v>13914330072</v>
      </c>
      <c r="G24" s="28">
        <v>14398019941</v>
      </c>
      <c r="H24" s="28">
        <v>16772584152</v>
      </c>
      <c r="I24" s="28">
        <v>19539903137</v>
      </c>
      <c r="J24" s="28">
        <v>23481939669</v>
      </c>
      <c r="K24" s="28">
        <v>29930046503</v>
      </c>
      <c r="L24" s="28">
        <v>37815859921</v>
      </c>
      <c r="M24" s="28">
        <v>45989090377</v>
      </c>
      <c r="N24" s="28">
        <v>53425290550</v>
      </c>
      <c r="O24" s="28">
        <v>57162533631</v>
      </c>
      <c r="P24" s="28">
        <v>64791483020</v>
      </c>
      <c r="Q24" s="28">
        <v>69892667653</v>
      </c>
      <c r="R24" s="28">
        <v>77770040990</v>
      </c>
      <c r="S24" s="28">
        <v>81031812763</v>
      </c>
      <c r="T24" s="28">
        <v>88247640400</v>
      </c>
      <c r="U24" s="28">
        <v>89629499330.245117</v>
      </c>
      <c r="V24" s="28">
        <v>97012061380.900146</v>
      </c>
    </row>
    <row r="25" spans="1:22" ht="38.25" x14ac:dyDescent="0.2">
      <c r="A25" s="28" t="s">
        <v>4</v>
      </c>
      <c r="B25" s="28" t="s">
        <v>26</v>
      </c>
      <c r="C25" s="28">
        <v>4312122756</v>
      </c>
      <c r="D25" s="28">
        <v>4984355688</v>
      </c>
      <c r="E25" s="28">
        <v>5837617271</v>
      </c>
      <c r="F25" s="28">
        <v>6776064076</v>
      </c>
      <c r="G25" s="28">
        <v>7888652148</v>
      </c>
      <c r="H25" s="28">
        <v>9736250746</v>
      </c>
      <c r="I25" s="28">
        <v>11480243992</v>
      </c>
      <c r="J25" s="28">
        <v>13384022931</v>
      </c>
      <c r="K25" s="28">
        <v>17685902952</v>
      </c>
      <c r="L25" s="28">
        <v>22939091507</v>
      </c>
      <c r="M25" s="28">
        <v>29657384515</v>
      </c>
      <c r="N25" s="28">
        <v>34431948636</v>
      </c>
      <c r="O25" s="28">
        <v>33652678255</v>
      </c>
      <c r="P25" s="28">
        <v>37637480475</v>
      </c>
      <c r="Q25" s="28">
        <v>40748803707</v>
      </c>
      <c r="R25" s="28">
        <v>45090285414</v>
      </c>
      <c r="S25" s="28">
        <v>45876448055</v>
      </c>
      <c r="T25" s="28">
        <v>50886713457</v>
      </c>
      <c r="U25" s="28">
        <v>50934001851.590019</v>
      </c>
      <c r="V25" s="28">
        <v>51791462608.318069</v>
      </c>
    </row>
    <row r="26" spans="1:22" ht="38.25" x14ac:dyDescent="0.2">
      <c r="A26" s="28" t="s">
        <v>4</v>
      </c>
      <c r="B26" s="28" t="s">
        <v>27</v>
      </c>
      <c r="C26" s="28">
        <v>2694811662</v>
      </c>
      <c r="D26" s="28">
        <v>3073298026</v>
      </c>
      <c r="E26" s="28">
        <v>3857640675</v>
      </c>
      <c r="F26" s="28">
        <v>4449382610</v>
      </c>
      <c r="G26" s="28">
        <v>5133776250</v>
      </c>
      <c r="H26" s="28">
        <v>5802180904</v>
      </c>
      <c r="I26" s="28">
        <v>6957237118</v>
      </c>
      <c r="J26" s="28">
        <v>8079480664</v>
      </c>
      <c r="K26" s="28">
        <v>10955112493</v>
      </c>
      <c r="L26" s="28">
        <v>13798372030</v>
      </c>
      <c r="M26" s="28">
        <v>17415625153</v>
      </c>
      <c r="N26" s="28">
        <v>19174825894</v>
      </c>
      <c r="O26" s="28">
        <v>21860959174</v>
      </c>
      <c r="P26" s="28">
        <v>24944303173</v>
      </c>
      <c r="Q26" s="28">
        <v>27870090330</v>
      </c>
      <c r="R26" s="28">
        <v>30255837084</v>
      </c>
      <c r="S26" s="28">
        <v>31543448130</v>
      </c>
      <c r="T26" s="28">
        <v>33803232704</v>
      </c>
      <c r="U26" s="28">
        <v>38146658060.880013</v>
      </c>
      <c r="V26" s="28">
        <v>38843373631.530014</v>
      </c>
    </row>
    <row r="27" spans="1:22" ht="38.25" x14ac:dyDescent="0.2">
      <c r="A27" s="28" t="s">
        <v>4</v>
      </c>
      <c r="B27" s="28" t="s">
        <v>28</v>
      </c>
      <c r="C27" s="28">
        <v>90031566</v>
      </c>
      <c r="D27" s="28">
        <v>0</v>
      </c>
      <c r="E27" s="28">
        <v>0</v>
      </c>
      <c r="F27" s="28">
        <v>0</v>
      </c>
      <c r="G27" s="28">
        <v>267279823</v>
      </c>
      <c r="H27" s="28">
        <v>291551187</v>
      </c>
      <c r="I27" s="28">
        <v>337022666</v>
      </c>
      <c r="J27" s="28">
        <v>367795592</v>
      </c>
      <c r="K27" s="28">
        <v>460926573</v>
      </c>
      <c r="L27" s="28">
        <v>513735445</v>
      </c>
      <c r="M27" s="28">
        <v>0</v>
      </c>
      <c r="N27" s="28">
        <v>0</v>
      </c>
      <c r="O27" s="28">
        <v>0</v>
      </c>
      <c r="P27" s="28">
        <v>0</v>
      </c>
      <c r="Q27" s="28">
        <v>0</v>
      </c>
      <c r="R27" s="28">
        <v>0</v>
      </c>
      <c r="S27" s="28">
        <v>0</v>
      </c>
      <c r="T27" s="28">
        <v>0</v>
      </c>
      <c r="U27" s="28">
        <v>0</v>
      </c>
      <c r="V27" s="28">
        <v>0</v>
      </c>
    </row>
    <row r="28" spans="1:22" ht="51" x14ac:dyDescent="0.2">
      <c r="A28" s="28" t="s">
        <v>4</v>
      </c>
      <c r="B28" s="28" t="s">
        <v>29</v>
      </c>
      <c r="C28" s="28">
        <v>0</v>
      </c>
      <c r="D28" s="28">
        <v>0</v>
      </c>
      <c r="E28" s="28">
        <v>0</v>
      </c>
      <c r="F28" s="28">
        <v>0</v>
      </c>
      <c r="G28" s="28">
        <v>2256714465</v>
      </c>
      <c r="H28" s="28">
        <v>2200885305</v>
      </c>
      <c r="I28" s="28">
        <v>2605774150</v>
      </c>
      <c r="J28" s="28">
        <v>2823754364</v>
      </c>
      <c r="K28" s="28">
        <v>3318875482</v>
      </c>
      <c r="L28" s="28">
        <v>3906526220</v>
      </c>
      <c r="M28" s="28">
        <v>4493424085</v>
      </c>
      <c r="N28" s="28">
        <v>5042526553</v>
      </c>
      <c r="O28" s="28">
        <v>5362529693</v>
      </c>
      <c r="P28" s="28">
        <v>5695781473</v>
      </c>
      <c r="Q28" s="28">
        <v>6298515252</v>
      </c>
      <c r="R28" s="28">
        <v>0</v>
      </c>
      <c r="S28" s="28">
        <v>0</v>
      </c>
      <c r="T28" s="28">
        <v>0</v>
      </c>
      <c r="U28" s="28">
        <v>0</v>
      </c>
      <c r="V28" s="28">
        <v>0</v>
      </c>
    </row>
    <row r="29" spans="1:22" ht="63.75" x14ac:dyDescent="0.2">
      <c r="A29" s="28" t="s">
        <v>4</v>
      </c>
      <c r="B29" s="28" t="s">
        <v>30</v>
      </c>
      <c r="C29" s="28">
        <v>0</v>
      </c>
      <c r="D29" s="28">
        <v>0</v>
      </c>
      <c r="E29" s="28">
        <v>0</v>
      </c>
      <c r="F29" s="28">
        <v>0</v>
      </c>
      <c r="G29" s="28">
        <v>6738209</v>
      </c>
      <c r="H29" s="28">
        <v>46978040</v>
      </c>
      <c r="I29" s="28">
        <v>116583220</v>
      </c>
      <c r="J29" s="28">
        <v>143162085</v>
      </c>
      <c r="K29" s="28">
        <v>169014586</v>
      </c>
      <c r="L29" s="28">
        <v>231800616</v>
      </c>
      <c r="M29" s="28">
        <v>296548616</v>
      </c>
      <c r="N29" s="28">
        <v>396575269</v>
      </c>
      <c r="O29" s="28">
        <v>166553328</v>
      </c>
      <c r="P29" s="28">
        <v>43985995</v>
      </c>
      <c r="Q29" s="28">
        <v>0</v>
      </c>
      <c r="R29" s="28">
        <v>0</v>
      </c>
      <c r="S29" s="28">
        <v>0</v>
      </c>
      <c r="T29" s="28">
        <v>0</v>
      </c>
      <c r="U29" s="28">
        <v>0</v>
      </c>
      <c r="V29" s="28">
        <v>0</v>
      </c>
    </row>
    <row r="30" spans="1:22" ht="76.5" x14ac:dyDescent="0.2">
      <c r="A30" s="28" t="s">
        <v>4</v>
      </c>
      <c r="B30" s="28" t="s">
        <v>31</v>
      </c>
      <c r="C30" s="28">
        <v>0</v>
      </c>
      <c r="D30" s="28">
        <v>0</v>
      </c>
      <c r="E30" s="28">
        <v>0</v>
      </c>
      <c r="F30" s="28">
        <v>0</v>
      </c>
      <c r="G30" s="28">
        <v>0</v>
      </c>
      <c r="H30" s="28">
        <v>0</v>
      </c>
      <c r="I30" s="28">
        <v>0</v>
      </c>
      <c r="J30" s="28">
        <v>0</v>
      </c>
      <c r="K30" s="28">
        <v>0</v>
      </c>
      <c r="L30" s="28">
        <v>0</v>
      </c>
      <c r="M30" s="28">
        <v>0</v>
      </c>
      <c r="N30" s="28">
        <v>0</v>
      </c>
      <c r="O30" s="28">
        <v>4881587810</v>
      </c>
      <c r="P30" s="28">
        <v>6453852519</v>
      </c>
      <c r="Q30" s="28">
        <v>6791754871</v>
      </c>
      <c r="R30" s="28">
        <v>6937134292</v>
      </c>
      <c r="S30" s="28">
        <v>8224613478</v>
      </c>
      <c r="T30" s="28">
        <v>8325643760</v>
      </c>
      <c r="U30" s="28">
        <v>8468933568.5199986</v>
      </c>
      <c r="V30" s="28">
        <v>9183624566.6200008</v>
      </c>
    </row>
    <row r="31" spans="1:22" ht="12.75" x14ac:dyDescent="0.2">
      <c r="A31" s="28" t="s">
        <v>4</v>
      </c>
      <c r="B31" s="28" t="s">
        <v>32</v>
      </c>
      <c r="C31" s="28">
        <v>0</v>
      </c>
      <c r="D31" s="28">
        <v>0</v>
      </c>
      <c r="E31" s="28">
        <v>0</v>
      </c>
      <c r="F31" s="28">
        <v>0</v>
      </c>
      <c r="G31" s="28">
        <v>1484140494</v>
      </c>
      <c r="H31" s="28">
        <v>706232594</v>
      </c>
      <c r="I31" s="28">
        <v>2402707826</v>
      </c>
      <c r="J31" s="28">
        <v>5254981125</v>
      </c>
      <c r="K31" s="28">
        <v>812920812</v>
      </c>
      <c r="L31" s="28">
        <v>0</v>
      </c>
      <c r="M31" s="28">
        <v>0</v>
      </c>
      <c r="N31" s="28">
        <v>0</v>
      </c>
      <c r="O31" s="28">
        <v>0</v>
      </c>
      <c r="P31" s="28">
        <v>0</v>
      </c>
      <c r="Q31" s="28">
        <v>0</v>
      </c>
      <c r="R31" s="28">
        <v>0</v>
      </c>
      <c r="S31" s="28">
        <v>0</v>
      </c>
      <c r="T31" s="28">
        <v>0</v>
      </c>
      <c r="U31" s="28">
        <v>0</v>
      </c>
      <c r="V31" s="28">
        <v>0</v>
      </c>
    </row>
    <row r="32" spans="1:22" ht="38.25" x14ac:dyDescent="0.2">
      <c r="A32" s="28" t="s">
        <v>4</v>
      </c>
      <c r="B32" s="28" t="s">
        <v>33</v>
      </c>
      <c r="C32" s="28">
        <v>1023084770000</v>
      </c>
      <c r="D32" s="28">
        <v>1200855900000</v>
      </c>
      <c r="E32" s="28">
        <v>1370751900000</v>
      </c>
      <c r="F32" s="28">
        <v>1814139200000</v>
      </c>
      <c r="G32" s="28">
        <v>2150673447451</v>
      </c>
      <c r="H32" s="28">
        <v>2309634759390</v>
      </c>
      <c r="I32" s="28">
        <v>2770329300000</v>
      </c>
      <c r="J32" s="28">
        <v>2935789000000</v>
      </c>
      <c r="K32" s="28">
        <v>3472441000000</v>
      </c>
      <c r="L32" s="28">
        <v>4128342000000</v>
      </c>
      <c r="M32" s="28">
        <v>4719573000000</v>
      </c>
      <c r="N32" s="28">
        <v>5485273000000</v>
      </c>
      <c r="O32" s="28">
        <v>5971236000000</v>
      </c>
      <c r="P32" s="28">
        <v>6448356000000</v>
      </c>
      <c r="Q32" s="28">
        <v>6651446000000</v>
      </c>
      <c r="R32" s="28">
        <v>7959346000000</v>
      </c>
      <c r="S32" s="28">
        <v>8000120000000</v>
      </c>
      <c r="T32" s="28">
        <v>8939241000000</v>
      </c>
      <c r="U32" s="28">
        <v>9377013000000</v>
      </c>
      <c r="V32" s="28">
        <v>10943081250986</v>
      </c>
    </row>
    <row r="33" spans="1:22" ht="25.5" x14ac:dyDescent="0.2">
      <c r="A33" s="28" t="s">
        <v>4</v>
      </c>
      <c r="B33" s="28" t="s">
        <v>34</v>
      </c>
      <c r="C33" s="28">
        <v>756705800000</v>
      </c>
      <c r="D33" s="28">
        <v>882271900000</v>
      </c>
      <c r="E33" s="28">
        <v>1068113500000</v>
      </c>
      <c r="F33" s="28">
        <v>1173060700000</v>
      </c>
      <c r="G33" s="28">
        <v>1329851900000</v>
      </c>
      <c r="H33" s="28">
        <v>1521590000000</v>
      </c>
      <c r="I33" s="28">
        <v>1759410400000</v>
      </c>
      <c r="J33" s="28">
        <v>2027132500000</v>
      </c>
      <c r="K33" s="28">
        <v>2460431728902</v>
      </c>
      <c r="L33" s="28">
        <v>2936305700000</v>
      </c>
      <c r="M33" s="28">
        <v>3724577800000</v>
      </c>
      <c r="N33" s="28">
        <v>3869794619829.7998</v>
      </c>
      <c r="O33" s="28">
        <v>4275492006206.6504</v>
      </c>
      <c r="P33" s="28">
        <v>4872299363737</v>
      </c>
      <c r="Q33" s="28">
        <v>5326977600000</v>
      </c>
      <c r="R33" s="28">
        <v>5847059800000</v>
      </c>
      <c r="S33" s="28">
        <v>6201021900000</v>
      </c>
      <c r="T33" s="28">
        <v>6764675800000</v>
      </c>
      <c r="U33" s="28">
        <v>6995167000000</v>
      </c>
      <c r="V33" s="28">
        <v>7880403600000</v>
      </c>
    </row>
    <row r="34" spans="1:22" ht="38.25" x14ac:dyDescent="0.2">
      <c r="A34" s="28" t="s">
        <v>4</v>
      </c>
      <c r="B34" s="28" t="s">
        <v>35</v>
      </c>
      <c r="C34" s="28">
        <v>609494600000</v>
      </c>
      <c r="D34" s="28">
        <v>706467600000</v>
      </c>
      <c r="E34" s="28">
        <v>788620250000</v>
      </c>
      <c r="F34" s="28">
        <v>951946326345</v>
      </c>
      <c r="G34" s="28">
        <v>1069799400000</v>
      </c>
      <c r="H34" s="28">
        <v>1211003037000</v>
      </c>
      <c r="I34" s="28">
        <v>1473752400000</v>
      </c>
      <c r="J34" s="28">
        <v>1869244028566</v>
      </c>
      <c r="K34" s="28">
        <v>2420963000000</v>
      </c>
      <c r="L34" s="28">
        <v>2945155574915</v>
      </c>
      <c r="M34" s="28">
        <v>2804697330203</v>
      </c>
      <c r="N34" s="28">
        <v>3038826000000</v>
      </c>
      <c r="O34" s="28">
        <v>3271383549476</v>
      </c>
      <c r="P34" s="28">
        <v>3658658479926</v>
      </c>
      <c r="Q34" s="28">
        <v>3810013000000</v>
      </c>
      <c r="R34" s="28">
        <v>4199967000000</v>
      </c>
      <c r="S34" s="28">
        <v>4344821402706</v>
      </c>
      <c r="T34" s="28">
        <v>4850689896441</v>
      </c>
      <c r="U34" s="28">
        <v>5184298799213</v>
      </c>
      <c r="V34" s="28">
        <v>5087023472904</v>
      </c>
    </row>
    <row r="35" spans="1:22" ht="25.5" x14ac:dyDescent="0.2">
      <c r="A35" s="28" t="s">
        <v>4</v>
      </c>
      <c r="B35" s="28" t="s">
        <v>36</v>
      </c>
      <c r="C35" s="28">
        <f t="shared" ref="C35:V35" si="3">C7-C36</f>
        <v>-1902727777</v>
      </c>
      <c r="D35" s="28">
        <f t="shared" si="3"/>
        <v>6866176105</v>
      </c>
      <c r="E35" s="28">
        <f t="shared" si="3"/>
        <v>7222127099.2399979</v>
      </c>
      <c r="F35" s="28">
        <f t="shared" si="3"/>
        <v>8192698368.9899979</v>
      </c>
      <c r="G35" s="28">
        <f t="shared" si="3"/>
        <v>9603660629</v>
      </c>
      <c r="H35" s="28">
        <f t="shared" si="3"/>
        <v>9995623731.0800018</v>
      </c>
      <c r="I35" s="28">
        <f t="shared" si="3"/>
        <v>12334218660</v>
      </c>
      <c r="J35" s="28">
        <f t="shared" si="3"/>
        <v>18396706088</v>
      </c>
      <c r="K35" s="28">
        <f t="shared" si="3"/>
        <v>23278819564</v>
      </c>
      <c r="L35" s="28">
        <f t="shared" si="3"/>
        <v>28011764059</v>
      </c>
      <c r="M35" s="28">
        <f t="shared" si="3"/>
        <v>25746672365.146606</v>
      </c>
      <c r="N35" s="28">
        <f t="shared" si="3"/>
        <v>29473879684.770386</v>
      </c>
      <c r="O35" s="28">
        <f t="shared" si="3"/>
        <v>29036936488.799255</v>
      </c>
      <c r="P35" s="28">
        <f t="shared" si="3"/>
        <v>34417088317.312805</v>
      </c>
      <c r="Q35" s="28">
        <f t="shared" si="3"/>
        <v>37738729138.150024</v>
      </c>
      <c r="R35" s="28">
        <f t="shared" si="3"/>
        <v>42544011653.820007</v>
      </c>
      <c r="S35" s="28">
        <f t="shared" si="3"/>
        <v>50760719372.482788</v>
      </c>
      <c r="T35" s="28">
        <f t="shared" si="3"/>
        <v>87049362442.546509</v>
      </c>
      <c r="U35" s="28">
        <f t="shared" si="3"/>
        <v>73810613392.256653</v>
      </c>
      <c r="V35" s="28">
        <f t="shared" si="3"/>
        <v>237394093424.4967</v>
      </c>
    </row>
    <row r="36" spans="1:22" ht="38.25" x14ac:dyDescent="0.2">
      <c r="A36" s="28" t="s">
        <v>4</v>
      </c>
      <c r="B36" s="28" t="s">
        <v>37</v>
      </c>
      <c r="C36" s="28">
        <f t="shared" ref="C36:V36" si="4">SUM(C37:C43)</f>
        <v>32451071056</v>
      </c>
      <c r="D36" s="28">
        <f t="shared" si="4"/>
        <v>38063628995</v>
      </c>
      <c r="E36" s="28">
        <f t="shared" si="4"/>
        <v>46286951332</v>
      </c>
      <c r="F36" s="28">
        <f t="shared" si="4"/>
        <v>53721764266</v>
      </c>
      <c r="G36" s="28">
        <f t="shared" si="4"/>
        <v>64806210951</v>
      </c>
      <c r="H36" s="28">
        <f t="shared" si="4"/>
        <v>74789624024</v>
      </c>
      <c r="I36" s="28">
        <f t="shared" si="4"/>
        <v>87283851402</v>
      </c>
      <c r="J36" s="28">
        <f t="shared" si="4"/>
        <v>101589334496</v>
      </c>
      <c r="K36" s="28">
        <f t="shared" si="4"/>
        <v>126757663823</v>
      </c>
      <c r="L36" s="28">
        <f t="shared" si="4"/>
        <v>158526013746</v>
      </c>
      <c r="M36" s="28">
        <f t="shared" si="4"/>
        <v>194001279726</v>
      </c>
      <c r="N36" s="28">
        <f t="shared" si="4"/>
        <v>221876796686</v>
      </c>
      <c r="O36" s="28">
        <f t="shared" si="4"/>
        <v>243558168355</v>
      </c>
      <c r="P36" s="28">
        <f t="shared" si="4"/>
        <v>274552278097</v>
      </c>
      <c r="Q36" s="28">
        <f t="shared" si="4"/>
        <v>300598978501</v>
      </c>
      <c r="R36" s="28">
        <f t="shared" si="4"/>
        <v>324834377264</v>
      </c>
      <c r="S36" s="28">
        <f t="shared" si="4"/>
        <v>335985916009</v>
      </c>
      <c r="T36" s="28">
        <f t="shared" si="4"/>
        <v>350479228391</v>
      </c>
      <c r="U36" s="28">
        <f t="shared" si="4"/>
        <v>371360423769</v>
      </c>
      <c r="V36" s="28">
        <f t="shared" si="4"/>
        <v>380027255229.76355</v>
      </c>
    </row>
    <row r="37" spans="1:22" ht="102" x14ac:dyDescent="0.2">
      <c r="A37" s="28" t="s">
        <v>4</v>
      </c>
      <c r="B37" s="28" t="s">
        <v>38</v>
      </c>
      <c r="C37" s="28">
        <v>5600768281</v>
      </c>
      <c r="D37" s="28">
        <v>6814253421</v>
      </c>
      <c r="E37" s="28">
        <v>7976320699</v>
      </c>
      <c r="F37" s="28">
        <v>9622234836</v>
      </c>
      <c r="G37" s="28">
        <v>12094694020</v>
      </c>
      <c r="H37" s="28">
        <v>13398848596</v>
      </c>
      <c r="I37" s="28">
        <v>15562188873</v>
      </c>
      <c r="J37" s="28">
        <v>18096453530</v>
      </c>
      <c r="K37" s="28">
        <v>22283661186</v>
      </c>
      <c r="L37" s="28">
        <v>27623180852</v>
      </c>
      <c r="M37" s="28">
        <v>32313228093</v>
      </c>
      <c r="N37" s="28">
        <v>36988190630</v>
      </c>
      <c r="O37" s="28">
        <v>39829383357</v>
      </c>
      <c r="P37" s="28">
        <v>46049879155</v>
      </c>
      <c r="Q37" s="28">
        <v>49194030404</v>
      </c>
      <c r="R37" s="28">
        <v>53674873105</v>
      </c>
      <c r="S37" s="28">
        <v>55349619105</v>
      </c>
      <c r="T37" s="28">
        <v>58023100859.5</v>
      </c>
      <c r="U37" s="28">
        <v>60754615321.5</v>
      </c>
      <c r="V37" s="28">
        <v>61749427832.449974</v>
      </c>
    </row>
    <row r="38" spans="1:22" ht="76.5" x14ac:dyDescent="0.2">
      <c r="A38" s="28" t="s">
        <v>4</v>
      </c>
      <c r="B38" s="28" t="s">
        <v>39</v>
      </c>
      <c r="C38" s="28">
        <v>13711888853</v>
      </c>
      <c r="D38" s="28">
        <v>16054000122</v>
      </c>
      <c r="E38" s="28">
        <v>18913208858</v>
      </c>
      <c r="F38" s="28">
        <v>21466618008</v>
      </c>
      <c r="G38" s="28">
        <v>25276275797</v>
      </c>
      <c r="H38" s="28">
        <v>29874745177</v>
      </c>
      <c r="I38" s="28">
        <v>34579623691</v>
      </c>
      <c r="J38" s="28">
        <v>40317163797</v>
      </c>
      <c r="K38" s="28">
        <v>49366056291</v>
      </c>
      <c r="L38" s="28">
        <v>60404591396</v>
      </c>
      <c r="M38" s="28">
        <v>74646810488</v>
      </c>
      <c r="N38" s="28">
        <v>84442489601</v>
      </c>
      <c r="O38" s="28">
        <v>92934296513</v>
      </c>
      <c r="P38" s="28">
        <v>103215653240</v>
      </c>
      <c r="Q38" s="28">
        <v>114906737870</v>
      </c>
      <c r="R38" s="28">
        <v>127914920700</v>
      </c>
      <c r="S38" s="28">
        <v>131641020595</v>
      </c>
      <c r="T38" s="28">
        <v>137144932041.5</v>
      </c>
      <c r="U38" s="28">
        <v>145449306127.5</v>
      </c>
      <c r="V38" s="28">
        <v>148785796120.37918</v>
      </c>
    </row>
    <row r="39" spans="1:22" ht="102" x14ac:dyDescent="0.2">
      <c r="A39" s="28" t="s">
        <v>4</v>
      </c>
      <c r="B39" s="28" t="s">
        <v>40</v>
      </c>
      <c r="C39" s="28">
        <v>6374520417</v>
      </c>
      <c r="D39" s="28">
        <v>7555374680</v>
      </c>
      <c r="E39" s="28">
        <v>10107581220</v>
      </c>
      <c r="F39" s="28">
        <v>11863916320</v>
      </c>
      <c r="G39" s="28">
        <v>12633357392</v>
      </c>
      <c r="H39" s="28">
        <v>14431275263</v>
      </c>
      <c r="I39" s="28">
        <v>16800950858</v>
      </c>
      <c r="J39" s="28">
        <v>19806648235</v>
      </c>
      <c r="K39" s="28">
        <v>24242446846</v>
      </c>
      <c r="L39" s="28">
        <v>31930126689</v>
      </c>
      <c r="M39" s="28">
        <v>38295251889</v>
      </c>
      <c r="N39" s="28">
        <v>44895044654</v>
      </c>
      <c r="O39" s="28">
        <v>49006902035</v>
      </c>
      <c r="P39" s="28">
        <v>55413118036</v>
      </c>
      <c r="Q39" s="28">
        <v>60199028078</v>
      </c>
      <c r="R39" s="28">
        <v>65584949468</v>
      </c>
      <c r="S39" s="28">
        <v>68930005074</v>
      </c>
      <c r="T39" s="28">
        <v>70844594760</v>
      </c>
      <c r="U39" s="28">
        <v>74216391370</v>
      </c>
      <c r="V39" s="28">
        <v>76825045500.479996</v>
      </c>
    </row>
    <row r="40" spans="1:22" ht="63.75" x14ac:dyDescent="0.2">
      <c r="A40" s="28" t="s">
        <v>4</v>
      </c>
      <c r="B40" s="28" t="s">
        <v>41</v>
      </c>
      <c r="C40" s="28">
        <v>4245065311</v>
      </c>
      <c r="D40" s="28">
        <v>4880290185</v>
      </c>
      <c r="E40" s="28">
        <v>5771777770</v>
      </c>
      <c r="F40" s="28">
        <v>6701721697</v>
      </c>
      <c r="G40" s="28">
        <v>7539726882</v>
      </c>
      <c r="H40" s="28">
        <v>9223949732</v>
      </c>
      <c r="I40" s="28">
        <v>10904325438</v>
      </c>
      <c r="J40" s="28">
        <v>12578994689</v>
      </c>
      <c r="K40" s="28">
        <v>16816953452</v>
      </c>
      <c r="L40" s="28">
        <v>21377519638</v>
      </c>
      <c r="M40" s="28">
        <v>27708494080</v>
      </c>
      <c r="N40" s="28">
        <v>32308992568</v>
      </c>
      <c r="O40" s="28">
        <v>32215584276</v>
      </c>
      <c r="P40" s="28">
        <v>35406590877</v>
      </c>
      <c r="Q40" s="28">
        <v>38627893102</v>
      </c>
      <c r="R40" s="28">
        <v>42685150719</v>
      </c>
      <c r="S40" s="28">
        <v>43152500012</v>
      </c>
      <c r="T40" s="28">
        <v>45441141093</v>
      </c>
      <c r="U40" s="28">
        <v>47681402607</v>
      </c>
      <c r="V40" s="28">
        <v>48417419082.344414</v>
      </c>
    </row>
    <row r="41" spans="1:22" ht="63.75" x14ac:dyDescent="0.2">
      <c r="A41" s="28" t="s">
        <v>4</v>
      </c>
      <c r="B41" s="28" t="s">
        <v>42</v>
      </c>
      <c r="C41" s="28">
        <v>2440944597</v>
      </c>
      <c r="D41" s="28">
        <v>2759710587</v>
      </c>
      <c r="E41" s="28">
        <v>3518062785</v>
      </c>
      <c r="F41" s="28">
        <v>4067273405</v>
      </c>
      <c r="G41" s="28">
        <v>4886958589</v>
      </c>
      <c r="H41" s="28">
        <v>5524179601</v>
      </c>
      <c r="I41" s="28">
        <v>6624527768</v>
      </c>
      <c r="J41" s="28">
        <v>7726021361</v>
      </c>
      <c r="K41" s="28">
        <v>10555860025</v>
      </c>
      <c r="L41" s="28">
        <v>13144206331</v>
      </c>
      <c r="M41" s="28">
        <v>16803823134</v>
      </c>
      <c r="N41" s="28">
        <v>18486994532</v>
      </c>
      <c r="O41" s="28">
        <v>21024704606</v>
      </c>
      <c r="P41" s="28">
        <v>23876576878</v>
      </c>
      <c r="Q41" s="28">
        <v>26774938928</v>
      </c>
      <c r="R41" s="28">
        <v>29105145894</v>
      </c>
      <c r="S41" s="28">
        <v>30120780942</v>
      </c>
      <c r="T41" s="28">
        <v>31757330520</v>
      </c>
      <c r="U41" s="28">
        <v>35856134596</v>
      </c>
      <c r="V41" s="28">
        <v>36541175399.360016</v>
      </c>
    </row>
    <row r="42" spans="1:22" ht="102" x14ac:dyDescent="0.2">
      <c r="A42" s="28" t="s">
        <v>4</v>
      </c>
      <c r="B42" s="28" t="s">
        <v>43</v>
      </c>
      <c r="C42" s="28">
        <v>0</v>
      </c>
      <c r="D42" s="28">
        <v>0</v>
      </c>
      <c r="E42" s="28">
        <v>0</v>
      </c>
      <c r="F42" s="28">
        <v>0</v>
      </c>
      <c r="G42" s="28">
        <v>0</v>
      </c>
      <c r="H42" s="28">
        <v>0</v>
      </c>
      <c r="I42" s="28">
        <v>0</v>
      </c>
      <c r="J42" s="28">
        <v>0</v>
      </c>
      <c r="K42" s="28">
        <v>0</v>
      </c>
      <c r="L42" s="28">
        <v>0</v>
      </c>
      <c r="M42" s="28">
        <v>0</v>
      </c>
      <c r="N42" s="28">
        <v>0</v>
      </c>
      <c r="O42" s="28">
        <v>3556047834</v>
      </c>
      <c r="P42" s="28">
        <v>5239851185</v>
      </c>
      <c r="Q42" s="28">
        <v>5116750952</v>
      </c>
      <c r="R42" s="28">
        <v>5869337378</v>
      </c>
      <c r="S42" s="28">
        <v>6791990281</v>
      </c>
      <c r="T42" s="28">
        <v>7268129117</v>
      </c>
      <c r="U42" s="28">
        <v>7402573747</v>
      </c>
      <c r="V42" s="28">
        <v>7708391294.75</v>
      </c>
    </row>
    <row r="43" spans="1:22" ht="140.25" x14ac:dyDescent="0.2">
      <c r="A43" s="28" t="s">
        <v>4</v>
      </c>
      <c r="B43" s="28" t="s">
        <v>44</v>
      </c>
      <c r="C43" s="28">
        <v>77883597</v>
      </c>
      <c r="D43" s="28">
        <v>0</v>
      </c>
      <c r="E43" s="28">
        <v>0</v>
      </c>
      <c r="F43" s="28">
        <v>0</v>
      </c>
      <c r="G43" s="28">
        <v>2375198271</v>
      </c>
      <c r="H43" s="28">
        <v>2336625655</v>
      </c>
      <c r="I43" s="28">
        <v>2812234774</v>
      </c>
      <c r="J43" s="28">
        <v>3064052884</v>
      </c>
      <c r="K43" s="28">
        <v>3492686023</v>
      </c>
      <c r="L43" s="28">
        <v>4046388840</v>
      </c>
      <c r="M43" s="28">
        <v>4233672042</v>
      </c>
      <c r="N43" s="28">
        <v>4755084701</v>
      </c>
      <c r="O43" s="28">
        <v>4991249734</v>
      </c>
      <c r="P43" s="28">
        <v>5350608726</v>
      </c>
      <c r="Q43" s="28">
        <v>5779599167</v>
      </c>
      <c r="R43" s="28">
        <v>0</v>
      </c>
      <c r="S43" s="28">
        <v>0</v>
      </c>
      <c r="T43" s="28">
        <v>0</v>
      </c>
      <c r="U43" s="28">
        <v>0</v>
      </c>
      <c r="V43" s="28">
        <v>0</v>
      </c>
    </row>
    <row r="44" spans="1:22" ht="38.25" x14ac:dyDescent="0.2">
      <c r="A44" s="28" t="s">
        <v>4</v>
      </c>
      <c r="B44" s="28" t="s">
        <v>45</v>
      </c>
      <c r="C44" s="28">
        <v>4914534300000</v>
      </c>
      <c r="D44" s="28">
        <v>5394652900000</v>
      </c>
      <c r="E44" s="28">
        <v>6060944400000</v>
      </c>
      <c r="F44" s="28">
        <v>6983599300000</v>
      </c>
      <c r="G44" s="28">
        <v>8143550100000</v>
      </c>
      <c r="H44" s="28">
        <v>9538976700000</v>
      </c>
      <c r="I44" s="28">
        <v>11517821800000</v>
      </c>
      <c r="J44" s="28">
        <v>13598403000000</v>
      </c>
      <c r="K44" s="28">
        <v>15701760400000</v>
      </c>
      <c r="L44" s="28">
        <v>16844745100000.002</v>
      </c>
      <c r="M44" s="28">
        <v>19086720600000</v>
      </c>
      <c r="N44" s="28">
        <v>20852224700000</v>
      </c>
      <c r="O44" s="28">
        <v>22781773100000</v>
      </c>
      <c r="P44" s="28">
        <v>24606874800000</v>
      </c>
      <c r="Q44" s="28">
        <v>26675006400000</v>
      </c>
      <c r="R44" s="28">
        <v>28098968800000</v>
      </c>
      <c r="S44" s="28">
        <v>30048725700000</v>
      </c>
      <c r="T44" s="28">
        <v>32506356100000</v>
      </c>
      <c r="U44" s="28"/>
      <c r="V44" s="28"/>
    </row>
    <row r="45" spans="1:22" ht="38.25" x14ac:dyDescent="0.2">
      <c r="A45" s="28" t="s">
        <v>4</v>
      </c>
      <c r="B45" s="28" t="s">
        <v>46</v>
      </c>
      <c r="C45" s="28">
        <v>4607290900000</v>
      </c>
      <c r="D45" s="28">
        <v>5233427800000</v>
      </c>
      <c r="E45" s="28">
        <v>5938755600000</v>
      </c>
      <c r="F45" s="28">
        <v>6855361300000</v>
      </c>
      <c r="G45" s="28">
        <v>8114385500000</v>
      </c>
      <c r="H45" s="28">
        <v>9532875000000</v>
      </c>
      <c r="I45" s="28">
        <v>11555641500000</v>
      </c>
      <c r="J45" s="28">
        <v>13816350800000</v>
      </c>
      <c r="K45" s="28">
        <v>16109612000000</v>
      </c>
      <c r="L45" s="28">
        <v>17521034900000</v>
      </c>
      <c r="M45" s="28">
        <v>19596936700000</v>
      </c>
      <c r="N45" s="28">
        <v>21370733300000</v>
      </c>
      <c r="O45" s="28">
        <v>23371405900000</v>
      </c>
      <c r="P45" s="28">
        <v>24860943500000</v>
      </c>
      <c r="Q45" s="28">
        <v>27226883400000</v>
      </c>
      <c r="R45" s="28">
        <v>29281373300000</v>
      </c>
      <c r="S45" s="28">
        <v>31136210500000</v>
      </c>
      <c r="T45" s="28">
        <v>33014818800000</v>
      </c>
      <c r="U45" s="28">
        <v>34693417700000.004</v>
      </c>
      <c r="V45" s="28">
        <v>36429780100000</v>
      </c>
    </row>
    <row r="46" spans="1:22" ht="38.25" x14ac:dyDescent="0.2">
      <c r="A46" s="28" t="s">
        <v>4</v>
      </c>
      <c r="B46" s="28" t="s">
        <v>47</v>
      </c>
      <c r="C46" s="28">
        <v>307.95</v>
      </c>
      <c r="D46" s="28">
        <v>327.85</v>
      </c>
      <c r="E46" s="28">
        <v>359.23</v>
      </c>
      <c r="F46" s="28">
        <v>398.13</v>
      </c>
      <c r="G46" s="28">
        <v>436.8</v>
      </c>
      <c r="H46" s="28">
        <v>477.01</v>
      </c>
      <c r="I46" s="28">
        <v>512.08000000000004</v>
      </c>
      <c r="J46" s="28">
        <v>516.53</v>
      </c>
      <c r="K46" s="28">
        <v>516.46</v>
      </c>
      <c r="L46" s="28">
        <v>570.41</v>
      </c>
      <c r="M46" s="28">
        <v>530.77</v>
      </c>
      <c r="N46" s="28">
        <v>498.21</v>
      </c>
      <c r="O46" s="28">
        <v>492.57</v>
      </c>
      <c r="P46" s="28">
        <v>493.03</v>
      </c>
      <c r="Q46" s="28">
        <v>537.48</v>
      </c>
      <c r="R46" s="28">
        <v>528.47</v>
      </c>
      <c r="S46" s="28">
        <v>541.59</v>
      </c>
      <c r="T46" s="28">
        <v>566.01</v>
      </c>
      <c r="U46" s="28">
        <v>563.44000000000005</v>
      </c>
      <c r="V46" s="28">
        <v>576.72</v>
      </c>
    </row>
    <row r="47" spans="1:22" ht="25.5" x14ac:dyDescent="0.2">
      <c r="A47" s="28" t="s">
        <v>48</v>
      </c>
      <c r="B47" s="28" t="s">
        <v>49</v>
      </c>
      <c r="C47" s="28">
        <f t="shared" ref="C47:V47" si="5">SUM(C48:C49)</f>
        <v>3872349</v>
      </c>
      <c r="D47" s="28">
        <f t="shared" si="5"/>
        <v>3953393</v>
      </c>
      <c r="E47" s="28">
        <f t="shared" si="5"/>
        <v>4022431</v>
      </c>
      <c r="F47" s="28">
        <f t="shared" si="5"/>
        <v>4086405</v>
      </c>
      <c r="G47" s="28">
        <f t="shared" si="5"/>
        <v>4151823</v>
      </c>
      <c r="H47" s="28">
        <f t="shared" si="5"/>
        <v>4215248</v>
      </c>
      <c r="I47" s="28">
        <f t="shared" si="5"/>
        <v>4278656</v>
      </c>
      <c r="J47" s="28">
        <f t="shared" si="5"/>
        <v>4340390</v>
      </c>
      <c r="K47" s="28">
        <f t="shared" si="5"/>
        <v>4404090</v>
      </c>
      <c r="L47" s="28">
        <f t="shared" si="5"/>
        <v>4469337</v>
      </c>
      <c r="M47" s="28">
        <f t="shared" si="5"/>
        <v>4533894</v>
      </c>
      <c r="N47" s="28">
        <f t="shared" si="5"/>
        <v>4592147</v>
      </c>
      <c r="O47" s="28">
        <f t="shared" si="5"/>
        <v>4652451</v>
      </c>
      <c r="P47" s="28">
        <f t="shared" si="5"/>
        <v>4713164</v>
      </c>
      <c r="Q47" s="28">
        <f t="shared" si="5"/>
        <v>4773119</v>
      </c>
      <c r="R47" s="28">
        <f t="shared" si="5"/>
        <v>4832227</v>
      </c>
      <c r="S47" s="28">
        <f t="shared" si="5"/>
        <v>4890372</v>
      </c>
      <c r="T47" s="28">
        <f t="shared" si="5"/>
        <v>4947481</v>
      </c>
      <c r="U47" s="28">
        <f t="shared" si="5"/>
        <v>5003393</v>
      </c>
      <c r="V47" s="28">
        <f t="shared" si="5"/>
        <v>5057999</v>
      </c>
    </row>
    <row r="48" spans="1:22" ht="25.5" x14ac:dyDescent="0.2">
      <c r="A48" s="28" t="s">
        <v>48</v>
      </c>
      <c r="B48" s="28" t="s">
        <v>50</v>
      </c>
      <c r="C48" s="28">
        <v>1961351</v>
      </c>
      <c r="D48" s="28">
        <v>2002061</v>
      </c>
      <c r="E48" s="28">
        <v>2036864</v>
      </c>
      <c r="F48" s="28">
        <v>2069239</v>
      </c>
      <c r="G48" s="28">
        <v>2101920</v>
      </c>
      <c r="H48" s="28">
        <v>2133445</v>
      </c>
      <c r="I48" s="28">
        <v>2165366</v>
      </c>
      <c r="J48" s="28">
        <v>2195780</v>
      </c>
      <c r="K48" s="28">
        <v>2227563</v>
      </c>
      <c r="L48" s="28">
        <v>2260174</v>
      </c>
      <c r="M48" s="28">
        <v>2292322</v>
      </c>
      <c r="N48" s="28">
        <v>2321359</v>
      </c>
      <c r="O48" s="28">
        <v>2351027</v>
      </c>
      <c r="P48" s="28">
        <v>2380846</v>
      </c>
      <c r="Q48" s="28">
        <v>2410315</v>
      </c>
      <c r="R48" s="28">
        <v>2439324</v>
      </c>
      <c r="S48" s="28">
        <v>2467825</v>
      </c>
      <c r="T48" s="28">
        <v>2495764</v>
      </c>
      <c r="U48" s="28">
        <v>2523066</v>
      </c>
      <c r="V48" s="28">
        <v>2549674</v>
      </c>
    </row>
    <row r="49" spans="1:22" ht="25.5" x14ac:dyDescent="0.2">
      <c r="A49" s="28" t="s">
        <v>48</v>
      </c>
      <c r="B49" s="28" t="s">
        <v>51</v>
      </c>
      <c r="C49" s="28">
        <v>1910998</v>
      </c>
      <c r="D49" s="28">
        <v>1951332</v>
      </c>
      <c r="E49" s="28">
        <v>1985567</v>
      </c>
      <c r="F49" s="28">
        <v>2017166</v>
      </c>
      <c r="G49" s="28">
        <v>2049903</v>
      </c>
      <c r="H49" s="28">
        <v>2081803</v>
      </c>
      <c r="I49" s="28">
        <v>2113290</v>
      </c>
      <c r="J49" s="28">
        <v>2144610</v>
      </c>
      <c r="K49" s="28">
        <v>2176527</v>
      </c>
      <c r="L49" s="28">
        <v>2209163</v>
      </c>
      <c r="M49" s="28">
        <v>2241572</v>
      </c>
      <c r="N49" s="28">
        <v>2270788</v>
      </c>
      <c r="O49" s="28">
        <v>2301424</v>
      </c>
      <c r="P49" s="28">
        <v>2332318</v>
      </c>
      <c r="Q49" s="28">
        <v>2362804</v>
      </c>
      <c r="R49" s="28">
        <v>2392903</v>
      </c>
      <c r="S49" s="28">
        <v>2422547</v>
      </c>
      <c r="T49" s="28">
        <v>2451717</v>
      </c>
      <c r="U49" s="28">
        <v>2480327</v>
      </c>
      <c r="V49" s="28">
        <v>2508325</v>
      </c>
    </row>
    <row r="50" spans="1:22" ht="51" x14ac:dyDescent="0.2">
      <c r="A50" s="28" t="s">
        <v>48</v>
      </c>
      <c r="B50" s="28" t="s">
        <v>52</v>
      </c>
      <c r="C50" s="28">
        <f t="shared" ref="C50:M51" si="6">($N50/$N$47)*C$47</f>
        <v>295059.83784796088</v>
      </c>
      <c r="D50" s="28">
        <f t="shared" si="6"/>
        <v>301235.11530837324</v>
      </c>
      <c r="E50" s="28">
        <f t="shared" si="6"/>
        <v>306495.57635807391</v>
      </c>
      <c r="F50" s="28">
        <f t="shared" si="6"/>
        <v>311370.17781225214</v>
      </c>
      <c r="G50" s="28">
        <f t="shared" si="6"/>
        <v>316354.80716057221</v>
      </c>
      <c r="H50" s="28">
        <f t="shared" si="6"/>
        <v>321187.57667992776</v>
      </c>
      <c r="I50" s="28">
        <f t="shared" si="6"/>
        <v>326019.05085703923</v>
      </c>
      <c r="J50" s="28">
        <f t="shared" si="6"/>
        <v>330722.9719214128</v>
      </c>
      <c r="K50" s="28">
        <f t="shared" si="6"/>
        <v>335576.69550648099</v>
      </c>
      <c r="L50" s="28">
        <f t="shared" si="6"/>
        <v>340548.29523575795</v>
      </c>
      <c r="M50" s="28">
        <f t="shared" si="6"/>
        <v>345467.3193092469</v>
      </c>
      <c r="N50" s="28">
        <v>349906</v>
      </c>
      <c r="O50" s="28">
        <v>353219</v>
      </c>
      <c r="P50" s="28">
        <v>356536</v>
      </c>
      <c r="Q50" s="28">
        <v>359719</v>
      </c>
      <c r="R50" s="28">
        <v>362987</v>
      </c>
      <c r="S50" s="28">
        <v>366082</v>
      </c>
      <c r="T50" s="28">
        <v>369136</v>
      </c>
      <c r="U50" s="28">
        <v>372009</v>
      </c>
      <c r="V50" s="28">
        <v>374918</v>
      </c>
    </row>
    <row r="51" spans="1:22" ht="51" x14ac:dyDescent="0.2">
      <c r="A51" s="28" t="s">
        <v>48</v>
      </c>
      <c r="B51" s="28" t="s">
        <v>53</v>
      </c>
      <c r="C51" s="28">
        <f t="shared" si="6"/>
        <v>389515.31336671062</v>
      </c>
      <c r="D51" s="28">
        <f t="shared" si="6"/>
        <v>397667.43990708486</v>
      </c>
      <c r="E51" s="28">
        <f t="shared" si="6"/>
        <v>404611.89615423896</v>
      </c>
      <c r="F51" s="28">
        <f t="shared" si="6"/>
        <v>411046.97022874054</v>
      </c>
      <c r="G51" s="28">
        <f t="shared" si="6"/>
        <v>417627.29467000952</v>
      </c>
      <c r="H51" s="28">
        <f t="shared" si="6"/>
        <v>424007.14544024837</v>
      </c>
      <c r="I51" s="28">
        <f t="shared" si="6"/>
        <v>430385.28619924409</v>
      </c>
      <c r="J51" s="28">
        <f t="shared" si="6"/>
        <v>436595.04114524211</v>
      </c>
      <c r="K51" s="28">
        <f t="shared" si="6"/>
        <v>443002.55386206059</v>
      </c>
      <c r="L51" s="28">
        <f t="shared" si="6"/>
        <v>449565.67760200187</v>
      </c>
      <c r="M51" s="28">
        <f t="shared" si="6"/>
        <v>456059.39500325231</v>
      </c>
      <c r="N51" s="28">
        <v>461919</v>
      </c>
      <c r="O51" s="28">
        <v>466505</v>
      </c>
      <c r="P51" s="28">
        <v>471047</v>
      </c>
      <c r="Q51" s="28">
        <v>475567</v>
      </c>
      <c r="R51" s="28">
        <v>480101</v>
      </c>
      <c r="S51" s="28">
        <v>484335</v>
      </c>
      <c r="T51" s="28">
        <v>488378</v>
      </c>
      <c r="U51" s="28">
        <v>492279</v>
      </c>
      <c r="V51" s="28">
        <v>496076</v>
      </c>
    </row>
    <row r="52" spans="1:22" ht="51" x14ac:dyDescent="0.2">
      <c r="A52" s="28" t="s">
        <v>48</v>
      </c>
      <c r="B52" s="28" t="s">
        <v>54</v>
      </c>
      <c r="C52" s="28">
        <f t="shared" ref="C52:M64" si="7">($N52/$N$47)*C$47</f>
        <v>456183.02063740551</v>
      </c>
      <c r="D52" s="28">
        <f t="shared" si="7"/>
        <v>465730.42887063499</v>
      </c>
      <c r="E52" s="28">
        <f t="shared" si="7"/>
        <v>473863.46733869798</v>
      </c>
      <c r="F52" s="28">
        <f t="shared" si="7"/>
        <v>481399.94004873972</v>
      </c>
      <c r="G52" s="28">
        <f t="shared" si="7"/>
        <v>489106.52353180328</v>
      </c>
      <c r="H52" s="28">
        <f t="shared" si="7"/>
        <v>496578.3211626283</v>
      </c>
      <c r="I52" s="28">
        <f t="shared" si="7"/>
        <v>504048.11610429717</v>
      </c>
      <c r="J52" s="28">
        <f t="shared" si="7"/>
        <v>511320.70506671496</v>
      </c>
      <c r="K52" s="28">
        <f t="shared" si="7"/>
        <v>518824.89913977054</v>
      </c>
      <c r="L52" s="28">
        <f t="shared" si="7"/>
        <v>526511.33792602888</v>
      </c>
      <c r="M52" s="28">
        <f t="shared" si="7"/>
        <v>534116.49109359959</v>
      </c>
      <c r="N52" s="28">
        <v>540979</v>
      </c>
      <c r="O52" s="28">
        <v>548008</v>
      </c>
      <c r="P52" s="28">
        <v>555090</v>
      </c>
      <c r="Q52" s="28">
        <v>562065</v>
      </c>
      <c r="R52" s="28">
        <v>568941</v>
      </c>
      <c r="S52" s="28">
        <v>575600</v>
      </c>
      <c r="T52" s="28">
        <v>582100</v>
      </c>
      <c r="U52" s="28">
        <v>588464</v>
      </c>
      <c r="V52" s="28">
        <v>594631</v>
      </c>
    </row>
    <row r="53" spans="1:22" ht="51" x14ac:dyDescent="0.2">
      <c r="A53" s="28" t="s">
        <v>48</v>
      </c>
      <c r="B53" s="28" t="s">
        <v>55</v>
      </c>
      <c r="C53" s="28">
        <f t="shared" si="7"/>
        <v>303668.62387789419</v>
      </c>
      <c r="D53" s="28">
        <f t="shared" si="7"/>
        <v>310024.07374916354</v>
      </c>
      <c r="E53" s="28">
        <f t="shared" si="7"/>
        <v>315438.01615344634</v>
      </c>
      <c r="F53" s="28">
        <f t="shared" si="7"/>
        <v>320454.84096545691</v>
      </c>
      <c r="G53" s="28">
        <f t="shared" si="7"/>
        <v>325584.90389027185</v>
      </c>
      <c r="H53" s="28">
        <f t="shared" si="7"/>
        <v>330558.67626188794</v>
      </c>
      <c r="I53" s="28">
        <f t="shared" si="7"/>
        <v>335531.11549782706</v>
      </c>
      <c r="J53" s="28">
        <f t="shared" si="7"/>
        <v>340372.28007944871</v>
      </c>
      <c r="K53" s="28">
        <f t="shared" si="7"/>
        <v>345367.61788113491</v>
      </c>
      <c r="L53" s="28">
        <f t="shared" si="7"/>
        <v>350484.27102943353</v>
      </c>
      <c r="M53" s="28">
        <f t="shared" si="7"/>
        <v>355546.8145531927</v>
      </c>
      <c r="N53" s="28">
        <v>360115</v>
      </c>
      <c r="O53" s="28">
        <v>365577</v>
      </c>
      <c r="P53" s="28">
        <v>371081</v>
      </c>
      <c r="Q53" s="28">
        <v>376496</v>
      </c>
      <c r="R53" s="28">
        <v>381866</v>
      </c>
      <c r="S53" s="28">
        <v>387377</v>
      </c>
      <c r="T53" s="28">
        <v>392798</v>
      </c>
      <c r="U53" s="28">
        <v>398146</v>
      </c>
      <c r="V53" s="28">
        <v>403367</v>
      </c>
    </row>
    <row r="54" spans="1:22" ht="51" x14ac:dyDescent="0.2">
      <c r="A54" s="28" t="s">
        <v>48</v>
      </c>
      <c r="B54" s="28" t="s">
        <v>56</v>
      </c>
      <c r="C54" s="28">
        <f t="shared" si="7"/>
        <v>222308.04876651379</v>
      </c>
      <c r="D54" s="28">
        <f t="shared" si="7"/>
        <v>226960.7114020958</v>
      </c>
      <c r="E54" s="28">
        <f t="shared" si="7"/>
        <v>230924.12045193676</v>
      </c>
      <c r="F54" s="28">
        <f t="shared" si="7"/>
        <v>234596.80984842166</v>
      </c>
      <c r="G54" s="28">
        <f t="shared" si="7"/>
        <v>238352.3979770247</v>
      </c>
      <c r="H54" s="28">
        <f t="shared" si="7"/>
        <v>241993.56978075832</v>
      </c>
      <c r="I54" s="28">
        <f t="shared" si="7"/>
        <v>245633.76562988947</v>
      </c>
      <c r="J54" s="28">
        <f t="shared" si="7"/>
        <v>249177.85865522161</v>
      </c>
      <c r="K54" s="28">
        <f t="shared" si="7"/>
        <v>252834.81795987804</v>
      </c>
      <c r="L54" s="28">
        <f t="shared" si="7"/>
        <v>256580.58913336179</v>
      </c>
      <c r="M54" s="28">
        <f t="shared" si="7"/>
        <v>260286.748031803</v>
      </c>
      <c r="N54" s="28">
        <v>263631</v>
      </c>
      <c r="O54" s="28">
        <v>268572</v>
      </c>
      <c r="P54" s="28">
        <v>273571</v>
      </c>
      <c r="Q54" s="28">
        <v>278515</v>
      </c>
      <c r="R54" s="28">
        <v>283360</v>
      </c>
      <c r="S54" s="28">
        <v>288271</v>
      </c>
      <c r="T54" s="28">
        <v>293143</v>
      </c>
      <c r="U54" s="28">
        <v>297904</v>
      </c>
      <c r="V54" s="28">
        <v>302592</v>
      </c>
    </row>
    <row r="55" spans="1:22" ht="51" x14ac:dyDescent="0.2">
      <c r="A55" s="28" t="s">
        <v>48</v>
      </c>
      <c r="B55" s="28" t="s">
        <v>57</v>
      </c>
      <c r="C55" s="28">
        <f t="shared" si="7"/>
        <v>235593.52470946594</v>
      </c>
      <c r="D55" s="28">
        <f t="shared" si="7"/>
        <v>240524.23772540383</v>
      </c>
      <c r="E55" s="28">
        <f t="shared" si="7"/>
        <v>244724.50628562193</v>
      </c>
      <c r="F55" s="28">
        <f t="shared" si="7"/>
        <v>248616.68133228313</v>
      </c>
      <c r="G55" s="28">
        <f t="shared" si="7"/>
        <v>252596.70926867105</v>
      </c>
      <c r="H55" s="28">
        <f t="shared" si="7"/>
        <v>256455.48318204971</v>
      </c>
      <c r="I55" s="28">
        <f t="shared" si="7"/>
        <v>260313.22281625564</v>
      </c>
      <c r="J55" s="28">
        <f t="shared" si="7"/>
        <v>264069.11637192796</v>
      </c>
      <c r="K55" s="28">
        <f t="shared" si="7"/>
        <v>267944.62127192353</v>
      </c>
      <c r="L55" s="28">
        <f t="shared" si="7"/>
        <v>271914.24557663332</v>
      </c>
      <c r="M55" s="28">
        <f t="shared" si="7"/>
        <v>275841.89031492238</v>
      </c>
      <c r="N55" s="28">
        <v>279386</v>
      </c>
      <c r="O55" s="28">
        <v>283483</v>
      </c>
      <c r="P55" s="28">
        <v>287556</v>
      </c>
      <c r="Q55" s="28">
        <v>291596</v>
      </c>
      <c r="R55" s="28">
        <v>295522</v>
      </c>
      <c r="S55" s="28">
        <v>299375</v>
      </c>
      <c r="T55" s="28">
        <v>303147</v>
      </c>
      <c r="U55" s="28">
        <v>306867</v>
      </c>
      <c r="V55" s="28">
        <v>310462</v>
      </c>
    </row>
    <row r="56" spans="1:22" ht="51" x14ac:dyDescent="0.2">
      <c r="A56" s="28" t="s">
        <v>48</v>
      </c>
      <c r="B56" s="28" t="s">
        <v>58</v>
      </c>
      <c r="C56" s="28">
        <f t="shared" si="7"/>
        <v>454745.27157471224</v>
      </c>
      <c r="D56" s="28">
        <f t="shared" si="7"/>
        <v>464262.58930343477</v>
      </c>
      <c r="E56" s="28">
        <f t="shared" si="7"/>
        <v>472369.9949269917</v>
      </c>
      <c r="F56" s="28">
        <f t="shared" si="7"/>
        <v>479882.71498495148</v>
      </c>
      <c r="G56" s="28">
        <f t="shared" si="7"/>
        <v>487565.00967891491</v>
      </c>
      <c r="H56" s="28">
        <f t="shared" si="7"/>
        <v>495013.25849368499</v>
      </c>
      <c r="I56" s="28">
        <f t="shared" si="7"/>
        <v>502459.51093116141</v>
      </c>
      <c r="J56" s="28">
        <f t="shared" si="7"/>
        <v>509709.17892219045</v>
      </c>
      <c r="K56" s="28">
        <f t="shared" si="7"/>
        <v>517189.72207553464</v>
      </c>
      <c r="L56" s="28">
        <f t="shared" si="7"/>
        <v>524851.93556260283</v>
      </c>
      <c r="M56" s="28">
        <f t="shared" si="7"/>
        <v>532433.11961833981</v>
      </c>
      <c r="N56" s="28">
        <v>539274</v>
      </c>
      <c r="O56" s="28">
        <v>544523</v>
      </c>
      <c r="P56" s="28">
        <v>549792</v>
      </c>
      <c r="Q56" s="28">
        <v>554981</v>
      </c>
      <c r="R56" s="28">
        <v>559998</v>
      </c>
      <c r="S56" s="28">
        <v>564586</v>
      </c>
      <c r="T56" s="28">
        <v>569046</v>
      </c>
      <c r="U56" s="28">
        <v>573398</v>
      </c>
      <c r="V56" s="28">
        <v>577545</v>
      </c>
    </row>
    <row r="57" spans="1:22" ht="51" x14ac:dyDescent="0.2">
      <c r="A57" s="28" t="s">
        <v>48</v>
      </c>
      <c r="B57" s="28" t="s">
        <v>59</v>
      </c>
      <c r="C57" s="28">
        <f t="shared" si="7"/>
        <v>388868.53710214415</v>
      </c>
      <c r="D57" s="28">
        <f t="shared" si="7"/>
        <v>397007.12732758775</v>
      </c>
      <c r="E57" s="28">
        <f t="shared" si="7"/>
        <v>403940.05255319574</v>
      </c>
      <c r="F57" s="28">
        <f t="shared" si="7"/>
        <v>410364.44141705398</v>
      </c>
      <c r="G57" s="28">
        <f t="shared" si="7"/>
        <v>416933.8394646339</v>
      </c>
      <c r="H57" s="28">
        <f t="shared" si="7"/>
        <v>423303.09672055359</v>
      </c>
      <c r="I57" s="28">
        <f t="shared" si="7"/>
        <v>429670.64680464281</v>
      </c>
      <c r="J57" s="28">
        <f t="shared" si="7"/>
        <v>435870.09067436215</v>
      </c>
      <c r="K57" s="28">
        <f t="shared" si="7"/>
        <v>442266.96394518734</v>
      </c>
      <c r="L57" s="28">
        <f t="shared" si="7"/>
        <v>448819.18985258968</v>
      </c>
      <c r="M57" s="28">
        <f t="shared" si="7"/>
        <v>455302.12466804747</v>
      </c>
      <c r="N57" s="28">
        <v>461152</v>
      </c>
      <c r="O57" s="28">
        <v>468497</v>
      </c>
      <c r="P57" s="28">
        <v>475838</v>
      </c>
      <c r="Q57" s="28">
        <v>483154</v>
      </c>
      <c r="R57" s="28">
        <v>490426</v>
      </c>
      <c r="S57" s="28">
        <v>497805</v>
      </c>
      <c r="T57" s="28">
        <v>505052</v>
      </c>
      <c r="U57" s="28">
        <v>512172</v>
      </c>
      <c r="V57" s="28">
        <v>519170</v>
      </c>
    </row>
    <row r="58" spans="1:22" ht="51" x14ac:dyDescent="0.2">
      <c r="A58" s="28" t="s">
        <v>48</v>
      </c>
      <c r="B58" s="28" t="s">
        <v>60</v>
      </c>
      <c r="C58" s="28">
        <f t="shared" si="7"/>
        <v>148729.02693990414</v>
      </c>
      <c r="D58" s="28">
        <f t="shared" si="7"/>
        <v>151841.76168032078</v>
      </c>
      <c r="E58" s="28">
        <f t="shared" si="7"/>
        <v>154493.37044850696</v>
      </c>
      <c r="F58" s="28">
        <f t="shared" si="7"/>
        <v>156950.4813053676</v>
      </c>
      <c r="G58" s="28">
        <f t="shared" si="7"/>
        <v>159463.05325700593</v>
      </c>
      <c r="H58" s="28">
        <f t="shared" si="7"/>
        <v>161899.07814362214</v>
      </c>
      <c r="I58" s="28">
        <f t="shared" si="7"/>
        <v>164334.45009491203</v>
      </c>
      <c r="J58" s="28">
        <f t="shared" si="7"/>
        <v>166705.52712053861</v>
      </c>
      <c r="K58" s="28">
        <f t="shared" si="7"/>
        <v>169152.1141962572</v>
      </c>
      <c r="L58" s="28">
        <f t="shared" si="7"/>
        <v>171658.11838667185</v>
      </c>
      <c r="M58" s="28">
        <f t="shared" si="7"/>
        <v>174137.62108442956</v>
      </c>
      <c r="N58" s="28">
        <v>176375</v>
      </c>
      <c r="O58" s="28">
        <v>179290</v>
      </c>
      <c r="P58" s="28">
        <v>182246</v>
      </c>
      <c r="Q58" s="28">
        <v>185183</v>
      </c>
      <c r="R58" s="28">
        <v>188080</v>
      </c>
      <c r="S58" s="28">
        <v>191090</v>
      </c>
      <c r="T58" s="28">
        <v>194052</v>
      </c>
      <c r="U58" s="28">
        <v>196976</v>
      </c>
      <c r="V58" s="28">
        <v>199834</v>
      </c>
    </row>
    <row r="59" spans="1:22" ht="51" x14ac:dyDescent="0.2">
      <c r="A59" s="28" t="s">
        <v>48</v>
      </c>
      <c r="B59" s="28" t="s">
        <v>61</v>
      </c>
      <c r="C59" s="28">
        <f t="shared" si="7"/>
        <v>140256.00489770906</v>
      </c>
      <c r="D59" s="28">
        <f t="shared" si="7"/>
        <v>143191.40861801681</v>
      </c>
      <c r="E59" s="28">
        <f t="shared" si="7"/>
        <v>145691.95649377079</v>
      </c>
      <c r="F59" s="28">
        <f t="shared" si="7"/>
        <v>148009.08691185192</v>
      </c>
      <c r="G59" s="28">
        <f t="shared" si="7"/>
        <v>150378.5188324764</v>
      </c>
      <c r="H59" s="28">
        <f t="shared" si="7"/>
        <v>152675.76453802545</v>
      </c>
      <c r="I59" s="28">
        <f t="shared" si="7"/>
        <v>154972.39450566369</v>
      </c>
      <c r="J59" s="28">
        <f t="shared" si="7"/>
        <v>157208.39239902381</v>
      </c>
      <c r="K59" s="28">
        <f t="shared" si="7"/>
        <v>159515.59857077745</v>
      </c>
      <c r="L59" s="28">
        <f t="shared" si="7"/>
        <v>161878.83689241656</v>
      </c>
      <c r="M59" s="28">
        <f t="shared" si="7"/>
        <v>164217.0834988514</v>
      </c>
      <c r="N59" s="28">
        <v>166327</v>
      </c>
      <c r="O59" s="28">
        <v>169100</v>
      </c>
      <c r="P59" s="28">
        <v>171908</v>
      </c>
      <c r="Q59" s="28">
        <v>174686</v>
      </c>
      <c r="R59" s="28">
        <v>177462</v>
      </c>
      <c r="S59" s="28">
        <v>180285</v>
      </c>
      <c r="T59" s="28">
        <v>183084</v>
      </c>
      <c r="U59" s="28">
        <v>185845</v>
      </c>
      <c r="V59" s="28">
        <v>188553</v>
      </c>
    </row>
    <row r="60" spans="1:22" ht="51" x14ac:dyDescent="0.2">
      <c r="A60" s="28" t="s">
        <v>48</v>
      </c>
      <c r="B60" s="28" t="s">
        <v>62</v>
      </c>
      <c r="C60" s="28">
        <f t="shared" si="7"/>
        <v>197437.94137295691</v>
      </c>
      <c r="D60" s="28">
        <f t="shared" si="7"/>
        <v>201570.10004993307</v>
      </c>
      <c r="E60" s="28">
        <f t="shared" si="7"/>
        <v>205090.11350856145</v>
      </c>
      <c r="F60" s="28">
        <f t="shared" si="7"/>
        <v>208351.93078313911</v>
      </c>
      <c r="G60" s="28">
        <f t="shared" si="7"/>
        <v>211687.37271999349</v>
      </c>
      <c r="H60" s="28">
        <f t="shared" si="7"/>
        <v>214921.1983466557</v>
      </c>
      <c r="I60" s="28">
        <f t="shared" si="7"/>
        <v>218154.15720097811</v>
      </c>
      <c r="J60" s="28">
        <f t="shared" si="7"/>
        <v>221301.76447313206</v>
      </c>
      <c r="K60" s="28">
        <f t="shared" si="7"/>
        <v>224549.61141705612</v>
      </c>
      <c r="L60" s="28">
        <f t="shared" si="7"/>
        <v>227876.33464390403</v>
      </c>
      <c r="M60" s="28">
        <f t="shared" si="7"/>
        <v>231167.87711107678</v>
      </c>
      <c r="N60" s="28">
        <v>234138</v>
      </c>
      <c r="O60" s="28">
        <v>238397</v>
      </c>
      <c r="P60" s="28">
        <v>242694</v>
      </c>
      <c r="Q60" s="28">
        <v>246949</v>
      </c>
      <c r="R60" s="28">
        <v>251170</v>
      </c>
      <c r="S60" s="28">
        <v>255410</v>
      </c>
      <c r="T60" s="28">
        <v>259627</v>
      </c>
      <c r="U60" s="28">
        <v>263780</v>
      </c>
      <c r="V60" s="28">
        <v>267856</v>
      </c>
    </row>
    <row r="61" spans="1:22" ht="51" x14ac:dyDescent="0.2">
      <c r="A61" s="28" t="s">
        <v>48</v>
      </c>
      <c r="B61" s="28" t="s">
        <v>63</v>
      </c>
      <c r="C61" s="28">
        <f t="shared" si="7"/>
        <v>157341.18598816631</v>
      </c>
      <c r="D61" s="28">
        <f t="shared" si="7"/>
        <v>160634.16373299898</v>
      </c>
      <c r="E61" s="28">
        <f t="shared" si="7"/>
        <v>163439.31399147282</v>
      </c>
      <c r="F61" s="28">
        <f t="shared" si="7"/>
        <v>166038.70393086283</v>
      </c>
      <c r="G61" s="28">
        <f t="shared" si="7"/>
        <v>168696.76644149239</v>
      </c>
      <c r="H61" s="28">
        <f t="shared" si="7"/>
        <v>171273.84942685851</v>
      </c>
      <c r="I61" s="28">
        <f t="shared" si="7"/>
        <v>173850.24166865737</v>
      </c>
      <c r="J61" s="28">
        <f t="shared" si="7"/>
        <v>176358.6159850719</v>
      </c>
      <c r="K61" s="28">
        <f t="shared" si="7"/>
        <v>178946.87276343722</v>
      </c>
      <c r="L61" s="28">
        <f t="shared" si="7"/>
        <v>181597.98720641999</v>
      </c>
      <c r="M61" s="28">
        <f t="shared" si="7"/>
        <v>184221.06558696835</v>
      </c>
      <c r="N61" s="28">
        <v>186588</v>
      </c>
      <c r="O61" s="28">
        <v>187981</v>
      </c>
      <c r="P61" s="28">
        <v>189405</v>
      </c>
      <c r="Q61" s="28">
        <v>190780</v>
      </c>
      <c r="R61" s="28">
        <v>192055</v>
      </c>
      <c r="S61" s="28">
        <v>193030</v>
      </c>
      <c r="T61" s="28">
        <v>193987</v>
      </c>
      <c r="U61" s="28">
        <v>194915</v>
      </c>
      <c r="V61" s="28">
        <v>195781</v>
      </c>
    </row>
    <row r="62" spans="1:22" ht="51" x14ac:dyDescent="0.2">
      <c r="A62" s="28" t="s">
        <v>48</v>
      </c>
      <c r="B62" s="28" t="s">
        <v>64</v>
      </c>
      <c r="C62" s="28">
        <f t="shared" si="7"/>
        <v>135724.35477283283</v>
      </c>
      <c r="D62" s="28">
        <f t="shared" si="7"/>
        <v>138564.91604667707</v>
      </c>
      <c r="E62" s="28">
        <f t="shared" si="7"/>
        <v>140984.67160197615</v>
      </c>
      <c r="F62" s="28">
        <f t="shared" si="7"/>
        <v>143226.93588968297</v>
      </c>
      <c r="G62" s="28">
        <f t="shared" si="7"/>
        <v>145519.81182636356</v>
      </c>
      <c r="H62" s="28">
        <f t="shared" si="7"/>
        <v>147742.8338735672</v>
      </c>
      <c r="I62" s="28">
        <f t="shared" si="7"/>
        <v>149965.26007725796</v>
      </c>
      <c r="J62" s="28">
        <f t="shared" si="7"/>
        <v>152129.01321974231</v>
      </c>
      <c r="K62" s="28">
        <f t="shared" si="7"/>
        <v>154361.67391200672</v>
      </c>
      <c r="L62" s="28">
        <f t="shared" si="7"/>
        <v>156648.55636394044</v>
      </c>
      <c r="M62" s="28">
        <f t="shared" si="7"/>
        <v>158911.25457917614</v>
      </c>
      <c r="N62" s="28">
        <v>160953</v>
      </c>
      <c r="O62" s="28">
        <v>162393</v>
      </c>
      <c r="P62" s="28">
        <v>163871</v>
      </c>
      <c r="Q62" s="28">
        <v>165325</v>
      </c>
      <c r="R62" s="28">
        <v>166736</v>
      </c>
      <c r="S62" s="28">
        <v>168113</v>
      </c>
      <c r="T62" s="28">
        <v>169484</v>
      </c>
      <c r="U62" s="28">
        <v>170857</v>
      </c>
      <c r="V62" s="28">
        <v>172190</v>
      </c>
    </row>
    <row r="63" spans="1:22" ht="51" x14ac:dyDescent="0.2">
      <c r="A63" s="28" t="s">
        <v>48</v>
      </c>
      <c r="B63" s="28" t="s">
        <v>65</v>
      </c>
      <c r="C63" s="28">
        <f t="shared" si="7"/>
        <v>146166.3762645229</v>
      </c>
      <c r="D63" s="28">
        <f t="shared" si="7"/>
        <v>149225.47754851927</v>
      </c>
      <c r="E63" s="28">
        <f t="shared" si="7"/>
        <v>151831.39821438643</v>
      </c>
      <c r="F63" s="28">
        <f t="shared" si="7"/>
        <v>154246.17223272688</v>
      </c>
      <c r="G63" s="28">
        <f t="shared" si="7"/>
        <v>156715.45173270805</v>
      </c>
      <c r="H63" s="28">
        <f t="shared" si="7"/>
        <v>159109.50309909505</v>
      </c>
      <c r="I63" s="28">
        <f t="shared" si="7"/>
        <v>161502.91278044888</v>
      </c>
      <c r="J63" s="28">
        <f t="shared" si="7"/>
        <v>163833.13535912507</v>
      </c>
      <c r="K63" s="28">
        <f t="shared" si="7"/>
        <v>166237.56692457799</v>
      </c>
      <c r="L63" s="28">
        <f t="shared" si="7"/>
        <v>168700.39182804906</v>
      </c>
      <c r="M63" s="28">
        <f t="shared" si="7"/>
        <v>171137.17186840926</v>
      </c>
      <c r="N63" s="28">
        <v>173336</v>
      </c>
      <c r="O63" s="28">
        <v>175141</v>
      </c>
      <c r="P63" s="28">
        <v>176997</v>
      </c>
      <c r="Q63" s="28">
        <v>178835</v>
      </c>
      <c r="R63" s="28">
        <v>180595</v>
      </c>
      <c r="S63" s="28">
        <v>182423</v>
      </c>
      <c r="T63" s="28">
        <v>184244</v>
      </c>
      <c r="U63" s="28">
        <v>186011</v>
      </c>
      <c r="V63" s="28">
        <v>187735</v>
      </c>
    </row>
    <row r="64" spans="1:22" ht="51" x14ac:dyDescent="0.2">
      <c r="A64" s="28" t="s">
        <v>48</v>
      </c>
      <c r="B64" s="28" t="s">
        <v>66</v>
      </c>
      <c r="C64" s="28">
        <f t="shared" si="7"/>
        <v>200751.93188110049</v>
      </c>
      <c r="D64" s="28">
        <f t="shared" si="7"/>
        <v>204953.44872975539</v>
      </c>
      <c r="E64" s="28">
        <f t="shared" si="7"/>
        <v>208532.5455191221</v>
      </c>
      <c r="F64" s="28">
        <f t="shared" si="7"/>
        <v>211849.11230846922</v>
      </c>
      <c r="G64" s="28">
        <f t="shared" si="7"/>
        <v>215240.53954805891</v>
      </c>
      <c r="H64" s="28">
        <f t="shared" si="7"/>
        <v>218528.64485043706</v>
      </c>
      <c r="I64" s="28">
        <f t="shared" si="7"/>
        <v>221815.86883172512</v>
      </c>
      <c r="J64" s="28">
        <f t="shared" si="7"/>
        <v>225016.30860684556</v>
      </c>
      <c r="K64" s="28">
        <f t="shared" si="7"/>
        <v>228318.67057391675</v>
      </c>
      <c r="L64" s="28">
        <f t="shared" si="7"/>
        <v>231701.23276018823</v>
      </c>
      <c r="M64" s="28">
        <f t="shared" si="7"/>
        <v>235048.02367868452</v>
      </c>
      <c r="N64" s="28">
        <v>238068</v>
      </c>
      <c r="O64" s="28">
        <v>241765</v>
      </c>
      <c r="P64" s="28">
        <v>245532</v>
      </c>
      <c r="Q64" s="28">
        <v>249268</v>
      </c>
      <c r="R64" s="28">
        <v>252928</v>
      </c>
      <c r="S64" s="28">
        <v>256590</v>
      </c>
      <c r="T64" s="28">
        <v>260203</v>
      </c>
      <c r="U64" s="28">
        <v>263770</v>
      </c>
      <c r="V64" s="28">
        <v>267289</v>
      </c>
    </row>
    <row r="65" spans="1:23" ht="38.25" x14ac:dyDescent="0.2">
      <c r="A65" s="28" t="s">
        <v>48</v>
      </c>
      <c r="B65" s="28" t="s">
        <v>67</v>
      </c>
      <c r="C65" s="28"/>
      <c r="D65" s="28"/>
      <c r="E65" s="28"/>
      <c r="F65" s="28"/>
      <c r="G65" s="28"/>
      <c r="H65" s="28"/>
      <c r="I65" s="28"/>
      <c r="J65" s="28"/>
      <c r="K65" s="28"/>
      <c r="L65" s="28"/>
      <c r="M65" s="28"/>
      <c r="N65" s="28">
        <v>3208488</v>
      </c>
      <c r="O65" s="28">
        <v>3277646.848750208</v>
      </c>
      <c r="P65" s="28">
        <v>3345600.9819778232</v>
      </c>
      <c r="Q65" s="28">
        <v>3412504.3568058508</v>
      </c>
      <c r="R65" s="28">
        <v>3476632.5843119402</v>
      </c>
      <c r="S65" s="28">
        <v>3538363.6880866019</v>
      </c>
      <c r="T65" s="28">
        <v>3599150.7143669985</v>
      </c>
      <c r="U65" s="28">
        <v>3661482.5821904847</v>
      </c>
      <c r="V65" s="28">
        <v>3721227</v>
      </c>
    </row>
    <row r="66" spans="1:23" ht="25.5" x14ac:dyDescent="0.2">
      <c r="A66" s="28" t="s">
        <v>68</v>
      </c>
      <c r="B66" s="28" t="s">
        <v>69</v>
      </c>
      <c r="C66" s="28">
        <f t="shared" ref="C66:V66" si="8">SUM(C67:C71)</f>
        <v>581</v>
      </c>
      <c r="D66" s="28">
        <f t="shared" si="8"/>
        <v>685</v>
      </c>
      <c r="E66" s="28">
        <f t="shared" si="8"/>
        <v>691</v>
      </c>
      <c r="F66" s="28">
        <f t="shared" si="8"/>
        <v>709</v>
      </c>
      <c r="G66" s="28">
        <f t="shared" si="8"/>
        <v>773</v>
      </c>
      <c r="H66" s="28">
        <f t="shared" si="8"/>
        <v>785</v>
      </c>
      <c r="I66" s="28">
        <f t="shared" si="8"/>
        <v>806</v>
      </c>
      <c r="J66" s="28">
        <f t="shared" si="8"/>
        <v>843</v>
      </c>
      <c r="K66" s="28">
        <f t="shared" si="8"/>
        <v>965</v>
      </c>
      <c r="L66" s="28">
        <f t="shared" si="8"/>
        <v>1110</v>
      </c>
      <c r="M66" s="28">
        <f t="shared" si="8"/>
        <v>1110</v>
      </c>
      <c r="N66" s="28">
        <f t="shared" si="8"/>
        <v>1139</v>
      </c>
      <c r="O66" s="28">
        <f t="shared" si="8"/>
        <v>1168</v>
      </c>
      <c r="P66" s="28">
        <f t="shared" si="8"/>
        <v>1210</v>
      </c>
      <c r="Q66" s="28">
        <f t="shared" si="8"/>
        <v>1277</v>
      </c>
      <c r="R66" s="28">
        <f t="shared" si="8"/>
        <v>1296</v>
      </c>
      <c r="S66" s="28">
        <f t="shared" si="8"/>
        <v>1293</v>
      </c>
      <c r="T66" s="28">
        <f t="shared" si="8"/>
        <v>1337</v>
      </c>
      <c r="U66" s="28">
        <f t="shared" si="8"/>
        <v>1435</v>
      </c>
      <c r="V66" s="28">
        <f t="shared" si="8"/>
        <v>1407</v>
      </c>
    </row>
    <row r="67" spans="1:23" ht="38.25" x14ac:dyDescent="0.2">
      <c r="A67" s="28" t="s">
        <v>68</v>
      </c>
      <c r="B67" s="28" t="s">
        <v>70</v>
      </c>
      <c r="C67" s="28">
        <v>475</v>
      </c>
      <c r="D67" s="28">
        <v>578</v>
      </c>
      <c r="E67" s="28">
        <v>580</v>
      </c>
      <c r="F67" s="28">
        <v>596</v>
      </c>
      <c r="G67" s="28">
        <f>646+16</f>
        <v>662</v>
      </c>
      <c r="H67" s="28">
        <f>702-29</f>
        <v>673</v>
      </c>
      <c r="I67" s="28">
        <v>687</v>
      </c>
      <c r="J67" s="28">
        <v>720</v>
      </c>
      <c r="K67" s="28">
        <f>886-66</f>
        <v>820</v>
      </c>
      <c r="L67" s="28">
        <v>961</v>
      </c>
      <c r="M67" s="28">
        <v>961</v>
      </c>
      <c r="N67" s="28">
        <v>992</v>
      </c>
      <c r="O67" s="28">
        <v>1009</v>
      </c>
      <c r="P67" s="28">
        <v>1049</v>
      </c>
      <c r="Q67" s="28">
        <v>1111</v>
      </c>
      <c r="R67" s="28">
        <v>1125</v>
      </c>
      <c r="S67" s="28">
        <v>1122</v>
      </c>
      <c r="T67" s="28">
        <v>1181</v>
      </c>
      <c r="U67" s="28">
        <v>1280</v>
      </c>
      <c r="V67" s="28">
        <v>1281</v>
      </c>
    </row>
    <row r="68" spans="1:23" ht="38.25" x14ac:dyDescent="0.2">
      <c r="A68" s="28" t="s">
        <v>68</v>
      </c>
      <c r="B68" s="28" t="s">
        <v>71</v>
      </c>
      <c r="C68" s="28">
        <v>76</v>
      </c>
      <c r="D68" s="28">
        <v>76</v>
      </c>
      <c r="E68" s="28">
        <v>80</v>
      </c>
      <c r="F68" s="28">
        <v>82</v>
      </c>
      <c r="G68" s="28">
        <v>80</v>
      </c>
      <c r="H68" s="28">
        <v>81</v>
      </c>
      <c r="I68" s="28">
        <v>88</v>
      </c>
      <c r="J68" s="28">
        <v>90</v>
      </c>
      <c r="K68" s="28">
        <v>106</v>
      </c>
      <c r="L68" s="28">
        <v>111</v>
      </c>
      <c r="M68" s="28">
        <v>111</v>
      </c>
      <c r="N68" s="28">
        <v>109</v>
      </c>
      <c r="O68" s="28">
        <v>121</v>
      </c>
      <c r="P68" s="28">
        <v>125</v>
      </c>
      <c r="Q68" s="28">
        <v>129</v>
      </c>
      <c r="R68" s="28">
        <v>132</v>
      </c>
      <c r="S68" s="28">
        <v>132</v>
      </c>
      <c r="T68" s="28">
        <v>118</v>
      </c>
      <c r="U68" s="28">
        <v>115</v>
      </c>
      <c r="V68" s="28">
        <v>86</v>
      </c>
    </row>
    <row r="69" spans="1:23" ht="51" x14ac:dyDescent="0.2">
      <c r="A69" s="28" t="s">
        <v>68</v>
      </c>
      <c r="B69" s="28" t="s">
        <v>72</v>
      </c>
      <c r="C69" s="28">
        <v>16</v>
      </c>
      <c r="D69" s="28">
        <v>16</v>
      </c>
      <c r="E69" s="28">
        <v>16</v>
      </c>
      <c r="F69" s="28">
        <v>16</v>
      </c>
      <c r="G69" s="28">
        <v>16</v>
      </c>
      <c r="H69" s="28">
        <v>16</v>
      </c>
      <c r="I69" s="28">
        <v>16</v>
      </c>
      <c r="J69" s="28">
        <v>16</v>
      </c>
      <c r="K69" s="28">
        <v>16</v>
      </c>
      <c r="L69" s="28">
        <v>16</v>
      </c>
      <c r="M69" s="28">
        <v>16</v>
      </c>
      <c r="N69" s="28">
        <v>16</v>
      </c>
      <c r="O69" s="28">
        <v>16</v>
      </c>
      <c r="P69" s="28">
        <v>15</v>
      </c>
      <c r="Q69" s="28">
        <v>14</v>
      </c>
      <c r="R69" s="28">
        <v>16</v>
      </c>
      <c r="S69" s="28">
        <v>16</v>
      </c>
      <c r="T69" s="28">
        <v>15</v>
      </c>
      <c r="U69" s="28">
        <v>16</v>
      </c>
      <c r="V69" s="28">
        <v>16</v>
      </c>
    </row>
    <row r="70" spans="1:23" ht="51" x14ac:dyDescent="0.2">
      <c r="A70" s="28" t="s">
        <v>68</v>
      </c>
      <c r="B70" s="28" t="s">
        <v>73</v>
      </c>
      <c r="C70" s="28">
        <v>7</v>
      </c>
      <c r="D70" s="28">
        <v>7</v>
      </c>
      <c r="E70" s="28">
        <v>7</v>
      </c>
      <c r="F70" s="28">
        <v>7</v>
      </c>
      <c r="G70" s="28">
        <v>7</v>
      </c>
      <c r="H70" s="28">
        <v>7</v>
      </c>
      <c r="I70" s="28">
        <v>7</v>
      </c>
      <c r="J70" s="28">
        <v>7</v>
      </c>
      <c r="K70" s="28">
        <v>7</v>
      </c>
      <c r="L70" s="28">
        <v>7</v>
      </c>
      <c r="M70" s="28">
        <v>7</v>
      </c>
      <c r="N70" s="28">
        <v>7</v>
      </c>
      <c r="O70" s="28">
        <v>7</v>
      </c>
      <c r="P70" s="28">
        <v>6</v>
      </c>
      <c r="Q70" s="28">
        <v>7</v>
      </c>
      <c r="R70" s="28">
        <v>7</v>
      </c>
      <c r="S70" s="28">
        <v>7</v>
      </c>
      <c r="T70" s="28">
        <v>7</v>
      </c>
      <c r="U70" s="28">
        <v>7</v>
      </c>
      <c r="V70" s="28">
        <v>7</v>
      </c>
    </row>
    <row r="71" spans="1:23" ht="38.25" x14ac:dyDescent="0.2">
      <c r="A71" s="28" t="s">
        <v>68</v>
      </c>
      <c r="B71" s="28" t="s">
        <v>74</v>
      </c>
      <c r="C71" s="28">
        <v>7</v>
      </c>
      <c r="D71" s="28">
        <v>8</v>
      </c>
      <c r="E71" s="28">
        <v>8</v>
      </c>
      <c r="F71" s="28">
        <v>8</v>
      </c>
      <c r="G71" s="28">
        <v>8</v>
      </c>
      <c r="H71" s="28">
        <v>8</v>
      </c>
      <c r="I71" s="28">
        <v>8</v>
      </c>
      <c r="J71" s="28">
        <v>10</v>
      </c>
      <c r="K71" s="28">
        <v>16</v>
      </c>
      <c r="L71" s="28">
        <v>15</v>
      </c>
      <c r="M71" s="28">
        <v>15</v>
      </c>
      <c r="N71" s="28">
        <v>15</v>
      </c>
      <c r="O71" s="28">
        <v>15</v>
      </c>
      <c r="P71" s="28">
        <v>15</v>
      </c>
      <c r="Q71" s="28">
        <v>16</v>
      </c>
      <c r="R71" s="28">
        <v>16</v>
      </c>
      <c r="S71" s="28">
        <v>16</v>
      </c>
      <c r="T71" s="28">
        <v>16</v>
      </c>
      <c r="U71" s="28">
        <v>17</v>
      </c>
      <c r="V71" s="28">
        <v>17</v>
      </c>
    </row>
    <row r="72" spans="1:23" ht="25.5" x14ac:dyDescent="0.2">
      <c r="A72" s="28" t="s">
        <v>68</v>
      </c>
      <c r="B72" s="28" t="s">
        <v>75</v>
      </c>
      <c r="C72" s="28">
        <f t="shared" ref="C72:V72" si="9">C76+C79+C84+C89+C96+C101</f>
        <v>6179.75</v>
      </c>
      <c r="D72" s="28">
        <f t="shared" si="9"/>
        <v>6497.6720000000005</v>
      </c>
      <c r="E72" s="28">
        <f t="shared" si="9"/>
        <v>6715.7019999999993</v>
      </c>
      <c r="F72" s="28">
        <f t="shared" si="9"/>
        <v>6895.8530000000001</v>
      </c>
      <c r="G72" s="28">
        <f t="shared" si="9"/>
        <v>7424.8759999999984</v>
      </c>
      <c r="H72" s="28">
        <f t="shared" si="9"/>
        <v>7648.9449999999997</v>
      </c>
      <c r="I72" s="28">
        <f t="shared" si="9"/>
        <v>7783.1329999999998</v>
      </c>
      <c r="J72" s="28">
        <f t="shared" si="9"/>
        <v>8043.2970000000005</v>
      </c>
      <c r="K72" s="28">
        <f t="shared" si="9"/>
        <v>9522.9</v>
      </c>
      <c r="L72" s="28">
        <f t="shared" si="9"/>
        <v>9937.2799999999988</v>
      </c>
      <c r="M72" s="28">
        <f t="shared" si="9"/>
        <v>10348.794</v>
      </c>
      <c r="N72" s="28">
        <f t="shared" si="9"/>
        <v>10544.875999999998</v>
      </c>
      <c r="O72" s="28">
        <f t="shared" si="9"/>
        <v>10819.305</v>
      </c>
      <c r="P72" s="28">
        <f t="shared" si="9"/>
        <v>11233</v>
      </c>
      <c r="Q72" s="28">
        <f t="shared" si="9"/>
        <v>11635</v>
      </c>
      <c r="R72" s="28">
        <f t="shared" si="9"/>
        <v>11892</v>
      </c>
      <c r="S72" s="28">
        <f t="shared" si="9"/>
        <v>11869</v>
      </c>
      <c r="T72" s="28">
        <f t="shared" si="9"/>
        <v>12242</v>
      </c>
      <c r="U72" s="28">
        <f t="shared" si="9"/>
        <v>12579</v>
      </c>
      <c r="V72" s="28">
        <f t="shared" si="9"/>
        <v>12596</v>
      </c>
      <c r="W72" s="2"/>
    </row>
    <row r="73" spans="1:23" ht="38.25" x14ac:dyDescent="0.2">
      <c r="A73" s="28" t="s">
        <v>68</v>
      </c>
      <c r="B73" s="28" t="s">
        <v>76</v>
      </c>
      <c r="C73" s="28">
        <f t="shared" ref="C73:O73" si="10">C77+C80+C82+C85+C87+C90+C92+C94+C97+C99+C102+C104</f>
        <v>6047</v>
      </c>
      <c r="D73" s="28">
        <f t="shared" si="10"/>
        <v>6286.16</v>
      </c>
      <c r="E73" s="28">
        <f t="shared" si="10"/>
        <v>6533.5599999999995</v>
      </c>
      <c r="F73" s="28">
        <f t="shared" si="10"/>
        <v>6706.84</v>
      </c>
      <c r="G73" s="28">
        <f t="shared" si="10"/>
        <v>7195.28</v>
      </c>
      <c r="H73" s="28">
        <f t="shared" si="10"/>
        <v>7468.6</v>
      </c>
      <c r="I73" s="28">
        <f t="shared" si="10"/>
        <v>7598.24</v>
      </c>
      <c r="J73" s="28">
        <f t="shared" si="10"/>
        <v>7840.16</v>
      </c>
      <c r="K73" s="28">
        <f t="shared" si="10"/>
        <v>9133</v>
      </c>
      <c r="L73" s="28">
        <f t="shared" si="10"/>
        <v>9523.4000000000015</v>
      </c>
      <c r="M73" s="28">
        <f t="shared" si="10"/>
        <v>9818.32</v>
      </c>
      <c r="N73" s="28">
        <f t="shared" si="10"/>
        <v>10161.280000000001</v>
      </c>
      <c r="O73" s="28">
        <f t="shared" si="10"/>
        <v>10352</v>
      </c>
      <c r="P73" s="28">
        <v>10793</v>
      </c>
      <c r="Q73" s="28">
        <v>11157</v>
      </c>
      <c r="R73" s="28">
        <v>11466</v>
      </c>
      <c r="S73" s="28">
        <v>11687</v>
      </c>
      <c r="T73" s="28">
        <v>11908</v>
      </c>
      <c r="U73" s="28">
        <v>12087</v>
      </c>
      <c r="V73" s="28">
        <v>12205</v>
      </c>
    </row>
    <row r="74" spans="1:23" ht="38.25" x14ac:dyDescent="0.2">
      <c r="A74" s="28" t="s">
        <v>68</v>
      </c>
      <c r="B74" s="28" t="s">
        <v>77</v>
      </c>
      <c r="C74" s="28">
        <f t="shared" ref="C74:O74" si="11">C78+C81+C83+C86+C88+C91+C93+C95+C98+C100+C103+C105</f>
        <v>132.75</v>
      </c>
      <c r="D74" s="28">
        <f t="shared" si="11"/>
        <v>211.512</v>
      </c>
      <c r="E74" s="28">
        <f t="shared" si="11"/>
        <v>182.142</v>
      </c>
      <c r="F74" s="28">
        <f t="shared" si="11"/>
        <v>189.01300000000001</v>
      </c>
      <c r="G74" s="28">
        <f t="shared" si="11"/>
        <v>229.596</v>
      </c>
      <c r="H74" s="28">
        <f t="shared" si="11"/>
        <v>180.345</v>
      </c>
      <c r="I74" s="28">
        <f t="shared" si="11"/>
        <v>184.893</v>
      </c>
      <c r="J74" s="28">
        <f t="shared" si="11"/>
        <v>203.137</v>
      </c>
      <c r="K74" s="28">
        <f t="shared" si="11"/>
        <v>389.9</v>
      </c>
      <c r="L74" s="28">
        <f t="shared" si="11"/>
        <v>413.88</v>
      </c>
      <c r="M74" s="28">
        <f t="shared" si="11"/>
        <v>530.47400000000005</v>
      </c>
      <c r="N74" s="28">
        <f t="shared" si="11"/>
        <v>383.596</v>
      </c>
      <c r="O74" s="28">
        <f t="shared" si="11"/>
        <v>467.30500000000001</v>
      </c>
      <c r="P74" s="28">
        <f t="shared" ref="P74:U74" si="12">P78+P81+P83+P86+P88+P91+P93+P95+P98+P100+P103+P105</f>
        <v>440</v>
      </c>
      <c r="Q74" s="28">
        <f t="shared" si="12"/>
        <v>478</v>
      </c>
      <c r="R74" s="28">
        <f t="shared" si="12"/>
        <v>426</v>
      </c>
      <c r="S74" s="28">
        <f t="shared" si="12"/>
        <v>182</v>
      </c>
      <c r="T74" s="28">
        <f t="shared" si="12"/>
        <v>334</v>
      </c>
      <c r="U74" s="28">
        <f t="shared" si="12"/>
        <v>492</v>
      </c>
      <c r="V74" s="28">
        <v>391</v>
      </c>
    </row>
    <row r="75" spans="1:23" ht="63.75" x14ac:dyDescent="0.2">
      <c r="A75" s="28" t="s">
        <v>68</v>
      </c>
      <c r="B75" s="28" t="s">
        <v>78</v>
      </c>
      <c r="C75" s="28">
        <f t="shared" ref="C75:O75" si="13">C80+C81+C85+C86+C90+C91+C92+C93+C97+C98+C102+C103</f>
        <v>1742</v>
      </c>
      <c r="D75" s="28">
        <f t="shared" si="13"/>
        <v>1885</v>
      </c>
      <c r="E75" s="28">
        <f t="shared" si="13"/>
        <v>1936</v>
      </c>
      <c r="F75" s="28">
        <f t="shared" si="13"/>
        <v>2005</v>
      </c>
      <c r="G75" s="28">
        <f t="shared" si="13"/>
        <v>2116</v>
      </c>
      <c r="H75" s="28">
        <f t="shared" si="13"/>
        <v>2192</v>
      </c>
      <c r="I75" s="28">
        <f t="shared" si="13"/>
        <v>2291</v>
      </c>
      <c r="J75" s="28">
        <f t="shared" si="13"/>
        <v>2422</v>
      </c>
      <c r="K75" s="28">
        <f t="shared" si="13"/>
        <v>3168</v>
      </c>
      <c r="L75" s="28">
        <f t="shared" si="13"/>
        <v>3482</v>
      </c>
      <c r="M75" s="28">
        <f t="shared" si="13"/>
        <v>3642</v>
      </c>
      <c r="N75" s="28">
        <f t="shared" si="13"/>
        <v>3570</v>
      </c>
      <c r="O75" s="28">
        <f t="shared" si="13"/>
        <v>3642</v>
      </c>
      <c r="P75" s="28">
        <f t="shared" ref="P75:V75" si="14">P80+P81+P85+P86+P90+P91+P92+P93+P97+P98+P102+P103</f>
        <v>3687</v>
      </c>
      <c r="Q75" s="28">
        <f t="shared" si="14"/>
        <v>3812</v>
      </c>
      <c r="R75" s="28">
        <f t="shared" si="14"/>
        <v>3928</v>
      </c>
      <c r="S75" s="28">
        <f t="shared" si="14"/>
        <v>3927</v>
      </c>
      <c r="T75" s="28">
        <f t="shared" si="14"/>
        <v>4104</v>
      </c>
      <c r="U75" s="28">
        <f t="shared" si="14"/>
        <v>4246</v>
      </c>
      <c r="V75" s="28">
        <f t="shared" si="14"/>
        <v>4213</v>
      </c>
    </row>
    <row r="76" spans="1:23" ht="38.25" x14ac:dyDescent="0.2">
      <c r="A76" s="28" t="s">
        <v>68</v>
      </c>
      <c r="B76" s="28" t="s">
        <v>79</v>
      </c>
      <c r="C76" s="28">
        <f t="shared" ref="C76:V76" si="15">SUM(C77:C78)</f>
        <v>1449</v>
      </c>
      <c r="D76" s="28">
        <f t="shared" si="15"/>
        <v>1509</v>
      </c>
      <c r="E76" s="28">
        <f t="shared" si="15"/>
        <v>1567</v>
      </c>
      <c r="F76" s="28">
        <f t="shared" si="15"/>
        <v>1613</v>
      </c>
      <c r="G76" s="28">
        <f t="shared" si="15"/>
        <v>1798</v>
      </c>
      <c r="H76" s="28">
        <f t="shared" si="15"/>
        <v>1826</v>
      </c>
      <c r="I76" s="28">
        <f t="shared" si="15"/>
        <v>1803</v>
      </c>
      <c r="J76" s="28">
        <f t="shared" si="15"/>
        <v>1839</v>
      </c>
      <c r="K76" s="28">
        <f t="shared" si="15"/>
        <v>2266</v>
      </c>
      <c r="L76" s="28">
        <f t="shared" si="15"/>
        <v>2298</v>
      </c>
      <c r="M76" s="28">
        <f t="shared" si="15"/>
        <v>2307</v>
      </c>
      <c r="N76" s="28">
        <f t="shared" si="15"/>
        <v>2325</v>
      </c>
      <c r="O76" s="28">
        <f t="shared" si="15"/>
        <v>2187</v>
      </c>
      <c r="P76" s="28">
        <f t="shared" si="15"/>
        <v>2207</v>
      </c>
      <c r="Q76" s="28">
        <f t="shared" si="15"/>
        <v>2205</v>
      </c>
      <c r="R76" s="28">
        <f t="shared" si="15"/>
        <v>2248</v>
      </c>
      <c r="S76" s="28">
        <f t="shared" si="15"/>
        <v>2190</v>
      </c>
      <c r="T76" s="28">
        <f t="shared" si="15"/>
        <v>2278</v>
      </c>
      <c r="U76" s="28">
        <f t="shared" si="15"/>
        <v>2312</v>
      </c>
      <c r="V76" s="28">
        <f t="shared" si="15"/>
        <v>2345</v>
      </c>
    </row>
    <row r="77" spans="1:23" ht="51" x14ac:dyDescent="0.2">
      <c r="A77" s="28" t="s">
        <v>68</v>
      </c>
      <c r="B77" s="28" t="s">
        <v>80</v>
      </c>
      <c r="C77" s="28">
        <v>1407</v>
      </c>
      <c r="D77" s="28">
        <v>1466</v>
      </c>
      <c r="E77" s="28">
        <v>1523</v>
      </c>
      <c r="F77" s="28">
        <v>1568</v>
      </c>
      <c r="G77" s="28">
        <v>1752</v>
      </c>
      <c r="H77" s="28">
        <v>1778</v>
      </c>
      <c r="I77" s="28">
        <v>1754</v>
      </c>
      <c r="J77" s="28">
        <v>1789</v>
      </c>
      <c r="K77" s="28">
        <v>2211</v>
      </c>
      <c r="L77" s="28">
        <v>2240</v>
      </c>
      <c r="M77" s="28">
        <v>2247</v>
      </c>
      <c r="N77" s="28">
        <v>2264</v>
      </c>
      <c r="O77" s="28">
        <v>2125</v>
      </c>
      <c r="P77" s="28">
        <v>2144</v>
      </c>
      <c r="Q77" s="28">
        <v>2119</v>
      </c>
      <c r="R77" s="28">
        <v>2143</v>
      </c>
      <c r="S77" s="28">
        <v>2168</v>
      </c>
      <c r="T77" s="28">
        <v>2187</v>
      </c>
      <c r="U77" s="28">
        <v>2251</v>
      </c>
      <c r="V77" s="28">
        <v>2304</v>
      </c>
    </row>
    <row r="78" spans="1:23" ht="51" x14ac:dyDescent="0.2">
      <c r="A78" s="28" t="s">
        <v>68</v>
      </c>
      <c r="B78" s="28" t="s">
        <v>81</v>
      </c>
      <c r="C78" s="28">
        <v>42</v>
      </c>
      <c r="D78" s="28">
        <v>43</v>
      </c>
      <c r="E78" s="28">
        <v>44</v>
      </c>
      <c r="F78" s="28">
        <v>45</v>
      </c>
      <c r="G78" s="28">
        <v>46</v>
      </c>
      <c r="H78" s="28">
        <v>48</v>
      </c>
      <c r="I78" s="28">
        <v>49</v>
      </c>
      <c r="J78" s="28">
        <v>50</v>
      </c>
      <c r="K78" s="28">
        <v>55</v>
      </c>
      <c r="L78" s="28">
        <v>58</v>
      </c>
      <c r="M78" s="28">
        <v>60</v>
      </c>
      <c r="N78" s="28">
        <v>61</v>
      </c>
      <c r="O78" s="28">
        <v>62</v>
      </c>
      <c r="P78" s="28">
        <v>63</v>
      </c>
      <c r="Q78" s="28">
        <v>86</v>
      </c>
      <c r="R78" s="28">
        <v>105</v>
      </c>
      <c r="S78" s="28">
        <v>22</v>
      </c>
      <c r="T78" s="28">
        <v>91</v>
      </c>
      <c r="U78" s="28">
        <v>61</v>
      </c>
      <c r="V78" s="28">
        <v>41</v>
      </c>
    </row>
    <row r="79" spans="1:23" ht="25.5" x14ac:dyDescent="0.2">
      <c r="A79" s="28" t="s">
        <v>68</v>
      </c>
      <c r="B79" s="28" t="s">
        <v>82</v>
      </c>
      <c r="C79" s="28">
        <f t="shared" ref="C79:V79" si="16">SUM(C80:C83)</f>
        <v>2359.75</v>
      </c>
      <c r="D79" s="28">
        <f t="shared" si="16"/>
        <v>2528.5120000000002</v>
      </c>
      <c r="E79" s="28">
        <f t="shared" si="16"/>
        <v>2595.1419999999998</v>
      </c>
      <c r="F79" s="28">
        <f t="shared" si="16"/>
        <v>2640.0129999999999</v>
      </c>
      <c r="G79" s="28">
        <f t="shared" si="16"/>
        <v>2782.596</v>
      </c>
      <c r="H79" s="28">
        <f t="shared" si="16"/>
        <v>2891.3449999999998</v>
      </c>
      <c r="I79" s="28">
        <f t="shared" si="16"/>
        <v>2989.893</v>
      </c>
      <c r="J79" s="28">
        <f t="shared" si="16"/>
        <v>3090.1370000000002</v>
      </c>
      <c r="K79" s="28">
        <f t="shared" si="16"/>
        <v>3161.9</v>
      </c>
      <c r="L79" s="28">
        <f t="shared" si="16"/>
        <v>3348.88</v>
      </c>
      <c r="M79" s="28">
        <f t="shared" si="16"/>
        <v>3583.4740000000002</v>
      </c>
      <c r="N79" s="28">
        <f t="shared" si="16"/>
        <v>3847.596</v>
      </c>
      <c r="O79" s="28">
        <f t="shared" si="16"/>
        <v>3911.3049999999998</v>
      </c>
      <c r="P79" s="28">
        <f t="shared" si="16"/>
        <v>4076</v>
      </c>
      <c r="Q79" s="28">
        <f t="shared" si="16"/>
        <v>4312</v>
      </c>
      <c r="R79" s="28">
        <f t="shared" si="16"/>
        <v>4315</v>
      </c>
      <c r="S79" s="28">
        <f t="shared" si="16"/>
        <v>4347</v>
      </c>
      <c r="T79" s="28">
        <f t="shared" si="16"/>
        <v>4401</v>
      </c>
      <c r="U79" s="28">
        <f t="shared" si="16"/>
        <v>4625</v>
      </c>
      <c r="V79" s="28">
        <f t="shared" si="16"/>
        <v>4589</v>
      </c>
    </row>
    <row r="80" spans="1:23" ht="25.5" x14ac:dyDescent="0.2">
      <c r="A80" s="28" t="s">
        <v>68</v>
      </c>
      <c r="B80" s="28" t="s">
        <v>83</v>
      </c>
      <c r="C80" s="28">
        <v>581</v>
      </c>
      <c r="D80" s="28">
        <v>611</v>
      </c>
      <c r="E80" s="28">
        <v>651</v>
      </c>
      <c r="F80" s="28">
        <v>683</v>
      </c>
      <c r="G80" s="28">
        <v>720</v>
      </c>
      <c r="H80" s="28">
        <v>767</v>
      </c>
      <c r="I80" s="28">
        <v>790</v>
      </c>
      <c r="J80" s="28">
        <v>813</v>
      </c>
      <c r="K80" s="28">
        <v>852</v>
      </c>
      <c r="L80" s="28">
        <v>966</v>
      </c>
      <c r="M80" s="28">
        <v>995</v>
      </c>
      <c r="N80" s="28">
        <v>1041</v>
      </c>
      <c r="O80" s="28">
        <v>1051</v>
      </c>
      <c r="P80" s="28">
        <v>1117</v>
      </c>
      <c r="Q80" s="28">
        <v>1189</v>
      </c>
      <c r="R80" s="28">
        <v>1228</v>
      </c>
      <c r="S80" s="28">
        <v>1274</v>
      </c>
      <c r="T80" s="28">
        <v>1276</v>
      </c>
      <c r="U80" s="28">
        <v>1303</v>
      </c>
      <c r="V80" s="28">
        <v>1320</v>
      </c>
    </row>
    <row r="81" spans="1:22" ht="38.25" x14ac:dyDescent="0.2">
      <c r="A81" s="28" t="s">
        <v>68</v>
      </c>
      <c r="B81" s="28" t="s">
        <v>84</v>
      </c>
      <c r="C81" s="28">
        <v>0</v>
      </c>
      <c r="D81" s="28">
        <v>74</v>
      </c>
      <c r="E81" s="28">
        <v>40</v>
      </c>
      <c r="F81" s="28">
        <v>26</v>
      </c>
      <c r="G81" s="28">
        <v>53</v>
      </c>
      <c r="H81" s="28">
        <v>18</v>
      </c>
      <c r="I81" s="28">
        <v>16</v>
      </c>
      <c r="J81" s="28">
        <v>30</v>
      </c>
      <c r="K81" s="28">
        <v>113</v>
      </c>
      <c r="L81" s="28">
        <v>144</v>
      </c>
      <c r="M81" s="28">
        <v>115</v>
      </c>
      <c r="N81" s="28">
        <v>98</v>
      </c>
      <c r="O81" s="28">
        <v>117</v>
      </c>
      <c r="P81" s="28">
        <v>93</v>
      </c>
      <c r="Q81" s="28">
        <v>88</v>
      </c>
      <c r="R81" s="28">
        <v>68</v>
      </c>
      <c r="S81" s="28">
        <v>19</v>
      </c>
      <c r="T81" s="28">
        <v>61</v>
      </c>
      <c r="U81" s="28">
        <v>132</v>
      </c>
      <c r="V81" s="28">
        <v>87</v>
      </c>
    </row>
    <row r="82" spans="1:22" ht="38.25" x14ac:dyDescent="0.2">
      <c r="A82" s="28" t="s">
        <v>68</v>
      </c>
      <c r="B82" s="28" t="s">
        <v>85</v>
      </c>
      <c r="C82" s="28">
        <v>1688</v>
      </c>
      <c r="D82" s="28">
        <v>1749</v>
      </c>
      <c r="E82" s="28">
        <v>1806</v>
      </c>
      <c r="F82" s="28">
        <v>1830</v>
      </c>
      <c r="G82" s="28">
        <v>1897</v>
      </c>
      <c r="H82" s="28">
        <v>1992</v>
      </c>
      <c r="I82" s="28">
        <v>2071</v>
      </c>
      <c r="J82" s="28">
        <v>2132</v>
      </c>
      <c r="K82" s="28">
        <v>2055</v>
      </c>
      <c r="L82" s="28">
        <v>2095</v>
      </c>
      <c r="M82" s="28">
        <v>2329</v>
      </c>
      <c r="N82" s="28">
        <v>2563</v>
      </c>
      <c r="O82" s="28">
        <v>2592</v>
      </c>
      <c r="P82" s="28">
        <v>2714</v>
      </c>
      <c r="Q82" s="28">
        <v>2913</v>
      </c>
      <c r="R82" s="28">
        <v>2935</v>
      </c>
      <c r="S82" s="28">
        <v>2983</v>
      </c>
      <c r="T82" s="28">
        <v>2991</v>
      </c>
      <c r="U82" s="28">
        <v>3004</v>
      </c>
      <c r="V82" s="28">
        <v>3016</v>
      </c>
    </row>
    <row r="83" spans="1:22" ht="38.25" x14ac:dyDescent="0.2">
      <c r="A83" s="28" t="s">
        <v>68</v>
      </c>
      <c r="B83" s="28" t="s">
        <v>86</v>
      </c>
      <c r="C83" s="28">
        <v>90.75</v>
      </c>
      <c r="D83" s="28">
        <v>94.512</v>
      </c>
      <c r="E83" s="28">
        <v>98.14200000000001</v>
      </c>
      <c r="F83" s="28">
        <v>101.01300000000001</v>
      </c>
      <c r="G83" s="28">
        <v>112.596</v>
      </c>
      <c r="H83" s="28">
        <v>114.345</v>
      </c>
      <c r="I83" s="28">
        <v>112.893</v>
      </c>
      <c r="J83" s="28">
        <v>115.137</v>
      </c>
      <c r="K83" s="28">
        <v>141.9</v>
      </c>
      <c r="L83" s="28">
        <v>143.88</v>
      </c>
      <c r="M83" s="28">
        <v>144.47400000000002</v>
      </c>
      <c r="N83" s="28">
        <v>145.596</v>
      </c>
      <c r="O83" s="28">
        <v>151.30500000000001</v>
      </c>
      <c r="P83" s="28">
        <v>152</v>
      </c>
      <c r="Q83" s="28">
        <v>122</v>
      </c>
      <c r="R83" s="28">
        <v>84</v>
      </c>
      <c r="S83" s="28">
        <v>71</v>
      </c>
      <c r="T83" s="28">
        <v>73</v>
      </c>
      <c r="U83" s="28">
        <v>186</v>
      </c>
      <c r="V83" s="28">
        <v>166</v>
      </c>
    </row>
    <row r="84" spans="1:22" ht="25.5" x14ac:dyDescent="0.2">
      <c r="A84" s="28" t="s">
        <v>68</v>
      </c>
      <c r="B84" s="28" t="s">
        <v>87</v>
      </c>
      <c r="C84" s="28">
        <f t="shared" ref="C84:V84" si="17">SUM(C85:C88)</f>
        <v>600.5</v>
      </c>
      <c r="D84" s="28">
        <f t="shared" si="17"/>
        <v>624.31999999999994</v>
      </c>
      <c r="E84" s="28">
        <f t="shared" si="17"/>
        <v>650.62</v>
      </c>
      <c r="F84" s="28">
        <f t="shared" si="17"/>
        <v>674.93000000000006</v>
      </c>
      <c r="G84" s="28">
        <f t="shared" si="17"/>
        <v>743.56</v>
      </c>
      <c r="H84" s="28">
        <f t="shared" si="17"/>
        <v>782.45</v>
      </c>
      <c r="I84" s="28">
        <f t="shared" si="17"/>
        <v>790.73</v>
      </c>
      <c r="J84" s="28">
        <f t="shared" si="17"/>
        <v>801.56999999999994</v>
      </c>
      <c r="K84" s="28">
        <f t="shared" si="17"/>
        <v>948</v>
      </c>
      <c r="L84" s="28">
        <f t="shared" si="17"/>
        <v>1051.8000000000002</v>
      </c>
      <c r="M84" s="28">
        <f t="shared" si="17"/>
        <v>1067.1399999999999</v>
      </c>
      <c r="N84" s="28">
        <f t="shared" si="17"/>
        <v>1075.56</v>
      </c>
      <c r="O84" s="28">
        <f t="shared" si="17"/>
        <v>1146</v>
      </c>
      <c r="P84" s="28">
        <f t="shared" si="17"/>
        <v>1169</v>
      </c>
      <c r="Q84" s="28">
        <f t="shared" si="17"/>
        <v>1208</v>
      </c>
      <c r="R84" s="28">
        <f t="shared" si="17"/>
        <v>1233</v>
      </c>
      <c r="S84" s="28">
        <f t="shared" si="17"/>
        <v>1231</v>
      </c>
      <c r="T84" s="28">
        <f t="shared" si="17"/>
        <v>1300</v>
      </c>
      <c r="U84" s="28">
        <f t="shared" si="17"/>
        <v>1307</v>
      </c>
      <c r="V84" s="28">
        <f t="shared" si="17"/>
        <v>1303</v>
      </c>
    </row>
    <row r="85" spans="1:22" ht="38.25" x14ac:dyDescent="0.2">
      <c r="A85" s="28" t="s">
        <v>68</v>
      </c>
      <c r="B85" s="28" t="s">
        <v>88</v>
      </c>
      <c r="C85" s="28">
        <v>243</v>
      </c>
      <c r="D85" s="28">
        <v>252</v>
      </c>
      <c r="E85" s="28">
        <v>264</v>
      </c>
      <c r="F85" s="28">
        <v>270</v>
      </c>
      <c r="G85" s="28">
        <v>290</v>
      </c>
      <c r="H85" s="28">
        <v>332</v>
      </c>
      <c r="I85" s="28">
        <v>339</v>
      </c>
      <c r="J85" s="28">
        <v>346</v>
      </c>
      <c r="K85" s="28">
        <v>356</v>
      </c>
      <c r="L85" s="28">
        <v>462</v>
      </c>
      <c r="M85" s="28">
        <v>464</v>
      </c>
      <c r="N85" s="28">
        <v>464</v>
      </c>
      <c r="O85" s="28">
        <v>494</v>
      </c>
      <c r="P85" s="28">
        <v>515</v>
      </c>
      <c r="Q85" s="28">
        <v>528</v>
      </c>
      <c r="R85" s="28">
        <v>542</v>
      </c>
      <c r="S85" s="28">
        <v>551</v>
      </c>
      <c r="T85" s="28">
        <v>571</v>
      </c>
      <c r="U85" s="28">
        <v>576</v>
      </c>
      <c r="V85" s="28">
        <v>579</v>
      </c>
    </row>
    <row r="86" spans="1:22" ht="38.25" x14ac:dyDescent="0.2">
      <c r="A86" s="28" t="s">
        <v>68</v>
      </c>
      <c r="B86" s="28" t="s">
        <v>89</v>
      </c>
      <c r="C86" s="28"/>
      <c r="D86" s="28"/>
      <c r="E86" s="28"/>
      <c r="F86" s="28">
        <v>7</v>
      </c>
      <c r="G86" s="28">
        <v>10</v>
      </c>
      <c r="H86" s="28">
        <v>0</v>
      </c>
      <c r="I86" s="28">
        <v>7</v>
      </c>
      <c r="J86" s="28">
        <v>2</v>
      </c>
      <c r="K86" s="28">
        <v>33</v>
      </c>
      <c r="L86" s="28">
        <v>23</v>
      </c>
      <c r="M86" s="28">
        <v>34</v>
      </c>
      <c r="N86" s="28">
        <v>38</v>
      </c>
      <c r="O86" s="28">
        <v>19</v>
      </c>
      <c r="P86" s="28">
        <v>18</v>
      </c>
      <c r="Q86" s="28">
        <v>24</v>
      </c>
      <c r="R86" s="28">
        <v>19</v>
      </c>
      <c r="S86" s="28">
        <v>10</v>
      </c>
      <c r="T86" s="28">
        <v>9</v>
      </c>
      <c r="U86" s="28">
        <v>7</v>
      </c>
      <c r="V86" s="28">
        <v>3</v>
      </c>
    </row>
    <row r="87" spans="1:22" ht="38.25" x14ac:dyDescent="0.2">
      <c r="A87" s="28" t="s">
        <v>68</v>
      </c>
      <c r="B87" s="28" t="s">
        <v>85</v>
      </c>
      <c r="C87" s="28">
        <v>357.5</v>
      </c>
      <c r="D87" s="28">
        <v>372.32</v>
      </c>
      <c r="E87" s="28">
        <v>386.62</v>
      </c>
      <c r="F87" s="28">
        <v>397.93</v>
      </c>
      <c r="G87" s="28">
        <v>443.56</v>
      </c>
      <c r="H87" s="28">
        <v>450.45</v>
      </c>
      <c r="I87" s="28">
        <v>444.73</v>
      </c>
      <c r="J87" s="28">
        <v>453.57</v>
      </c>
      <c r="K87" s="28">
        <v>559</v>
      </c>
      <c r="L87" s="28">
        <v>566.80000000000007</v>
      </c>
      <c r="M87" s="28">
        <v>569.14</v>
      </c>
      <c r="N87" s="28">
        <v>573.56000000000006</v>
      </c>
      <c r="O87" s="28">
        <v>626</v>
      </c>
      <c r="P87" s="28">
        <v>628</v>
      </c>
      <c r="Q87" s="28">
        <v>643</v>
      </c>
      <c r="R87" s="28">
        <v>653</v>
      </c>
      <c r="S87" s="28">
        <v>657</v>
      </c>
      <c r="T87" s="28">
        <v>708</v>
      </c>
      <c r="U87" s="28">
        <v>713</v>
      </c>
      <c r="V87" s="28">
        <v>716</v>
      </c>
    </row>
    <row r="88" spans="1:22" ht="38.25" x14ac:dyDescent="0.2">
      <c r="A88" s="28" t="s">
        <v>68</v>
      </c>
      <c r="B88" s="28" t="s">
        <v>86</v>
      </c>
      <c r="C88" s="28"/>
      <c r="D88" s="28"/>
      <c r="E88" s="28"/>
      <c r="F88" s="28"/>
      <c r="G88" s="28"/>
      <c r="H88" s="28"/>
      <c r="I88" s="28"/>
      <c r="J88" s="28"/>
      <c r="K88" s="28"/>
      <c r="L88" s="28"/>
      <c r="M88" s="28"/>
      <c r="N88" s="28"/>
      <c r="O88" s="28">
        <v>7</v>
      </c>
      <c r="P88" s="28">
        <v>8</v>
      </c>
      <c r="Q88" s="28">
        <v>13</v>
      </c>
      <c r="R88" s="28">
        <v>19</v>
      </c>
      <c r="S88" s="28">
        <v>13</v>
      </c>
      <c r="T88" s="28">
        <v>12</v>
      </c>
      <c r="U88" s="28">
        <v>11</v>
      </c>
      <c r="V88" s="28">
        <v>5</v>
      </c>
    </row>
    <row r="89" spans="1:22" ht="38.25" x14ac:dyDescent="0.2">
      <c r="A89" s="28" t="s">
        <v>68</v>
      </c>
      <c r="B89" s="28" t="s">
        <v>90</v>
      </c>
      <c r="C89" s="28">
        <f t="shared" ref="C89:V89" si="18">SUM(C90:C95)</f>
        <v>294</v>
      </c>
      <c r="D89" s="28">
        <f t="shared" si="18"/>
        <v>305.56</v>
      </c>
      <c r="E89" s="28">
        <f t="shared" si="18"/>
        <v>337.96000000000004</v>
      </c>
      <c r="F89" s="28">
        <f t="shared" si="18"/>
        <v>346.44</v>
      </c>
      <c r="G89" s="28">
        <f t="shared" si="18"/>
        <v>369.48</v>
      </c>
      <c r="H89" s="28">
        <f t="shared" si="18"/>
        <v>376.6</v>
      </c>
      <c r="I89" s="28">
        <f t="shared" si="18"/>
        <v>391.84000000000003</v>
      </c>
      <c r="J89" s="28">
        <f t="shared" si="18"/>
        <v>414.56</v>
      </c>
      <c r="K89" s="28">
        <f t="shared" si="18"/>
        <v>485</v>
      </c>
      <c r="L89" s="28">
        <f t="shared" si="18"/>
        <v>546.4</v>
      </c>
      <c r="M89" s="28">
        <f t="shared" si="18"/>
        <v>552.12</v>
      </c>
      <c r="N89" s="28">
        <f t="shared" si="18"/>
        <v>559.48</v>
      </c>
      <c r="O89" s="28">
        <f t="shared" si="18"/>
        <v>615</v>
      </c>
      <c r="P89" s="28">
        <f t="shared" si="18"/>
        <v>656</v>
      </c>
      <c r="Q89" s="28">
        <f t="shared" si="18"/>
        <v>688</v>
      </c>
      <c r="R89" s="28">
        <f t="shared" si="18"/>
        <v>709</v>
      </c>
      <c r="S89" s="28">
        <f t="shared" si="18"/>
        <v>709</v>
      </c>
      <c r="T89" s="28">
        <f t="shared" si="18"/>
        <v>818</v>
      </c>
      <c r="U89" s="28">
        <f t="shared" si="18"/>
        <v>826</v>
      </c>
      <c r="V89" s="28">
        <f t="shared" si="18"/>
        <v>824</v>
      </c>
    </row>
    <row r="90" spans="1:22" ht="51" x14ac:dyDescent="0.2">
      <c r="A90" s="28" t="s">
        <v>68</v>
      </c>
      <c r="B90" s="28" t="s">
        <v>91</v>
      </c>
      <c r="C90" s="28">
        <v>184</v>
      </c>
      <c r="D90" s="28">
        <v>191</v>
      </c>
      <c r="E90" s="28">
        <v>219</v>
      </c>
      <c r="F90" s="28">
        <v>222</v>
      </c>
      <c r="G90" s="28">
        <v>230</v>
      </c>
      <c r="H90" s="28">
        <v>238</v>
      </c>
      <c r="I90" s="28">
        <v>255</v>
      </c>
      <c r="J90" s="28">
        <v>269</v>
      </c>
      <c r="K90" s="28">
        <v>280</v>
      </c>
      <c r="L90" s="28">
        <v>341</v>
      </c>
      <c r="M90" s="28">
        <v>352</v>
      </c>
      <c r="N90" s="28">
        <v>356</v>
      </c>
      <c r="O90" s="28">
        <v>383</v>
      </c>
      <c r="P90" s="28">
        <v>414</v>
      </c>
      <c r="Q90" s="28">
        <v>433</v>
      </c>
      <c r="R90" s="28">
        <v>459</v>
      </c>
      <c r="S90" s="28">
        <v>470</v>
      </c>
      <c r="T90" s="28">
        <v>477</v>
      </c>
      <c r="U90" s="28">
        <v>483</v>
      </c>
      <c r="V90" s="28">
        <v>483</v>
      </c>
    </row>
    <row r="91" spans="1:22" ht="51" x14ac:dyDescent="0.2">
      <c r="A91" s="28" t="s">
        <v>68</v>
      </c>
      <c r="B91" s="28" t="s">
        <v>92</v>
      </c>
      <c r="C91" s="28"/>
      <c r="D91" s="28"/>
      <c r="E91" s="28"/>
      <c r="F91" s="28">
        <v>2</v>
      </c>
      <c r="G91" s="28">
        <v>3</v>
      </c>
      <c r="H91" s="28">
        <v>0</v>
      </c>
      <c r="I91" s="28">
        <v>0</v>
      </c>
      <c r="J91" s="28">
        <v>6</v>
      </c>
      <c r="K91" s="28">
        <v>33</v>
      </c>
      <c r="L91" s="28">
        <v>31</v>
      </c>
      <c r="M91" s="28">
        <v>25</v>
      </c>
      <c r="N91" s="28">
        <v>27</v>
      </c>
      <c r="O91" s="28">
        <v>30</v>
      </c>
      <c r="P91" s="28">
        <v>37</v>
      </c>
      <c r="Q91" s="28">
        <v>40</v>
      </c>
      <c r="R91" s="28">
        <v>32</v>
      </c>
      <c r="S91" s="28">
        <v>21</v>
      </c>
      <c r="T91" s="28">
        <v>14</v>
      </c>
      <c r="U91" s="28">
        <v>16</v>
      </c>
      <c r="V91" s="28">
        <v>13</v>
      </c>
    </row>
    <row r="92" spans="1:22" ht="25.5" x14ac:dyDescent="0.2">
      <c r="A92" s="28" t="s">
        <v>68</v>
      </c>
      <c r="B92" s="28" t="s">
        <v>93</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38</v>
      </c>
      <c r="U92" s="28">
        <v>38</v>
      </c>
      <c r="V92" s="28">
        <v>39</v>
      </c>
    </row>
    <row r="93" spans="1:22" ht="38.25" x14ac:dyDescent="0.2">
      <c r="A93" s="28" t="s">
        <v>68</v>
      </c>
      <c r="B93" s="28" t="s">
        <v>94</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38</v>
      </c>
      <c r="U93" s="28">
        <v>38</v>
      </c>
      <c r="V93" s="28">
        <v>37</v>
      </c>
    </row>
    <row r="94" spans="1:22" ht="38.25" x14ac:dyDescent="0.2">
      <c r="A94" s="28" t="s">
        <v>68</v>
      </c>
      <c r="B94" s="28" t="s">
        <v>85</v>
      </c>
      <c r="C94" s="28">
        <v>110</v>
      </c>
      <c r="D94" s="28">
        <v>114.56</v>
      </c>
      <c r="E94" s="28">
        <v>118.96000000000001</v>
      </c>
      <c r="F94" s="28">
        <v>122.44</v>
      </c>
      <c r="G94" s="28">
        <v>136.47999999999999</v>
      </c>
      <c r="H94" s="28">
        <v>138.6</v>
      </c>
      <c r="I94" s="28">
        <v>136.84</v>
      </c>
      <c r="J94" s="28">
        <v>139.56</v>
      </c>
      <c r="K94" s="28">
        <v>172</v>
      </c>
      <c r="L94" s="28">
        <v>174.4</v>
      </c>
      <c r="M94" s="28">
        <v>175.12</v>
      </c>
      <c r="N94" s="28">
        <v>176.48</v>
      </c>
      <c r="O94" s="28">
        <v>187</v>
      </c>
      <c r="P94" s="28">
        <v>189</v>
      </c>
      <c r="Q94" s="28">
        <v>198</v>
      </c>
      <c r="R94" s="28">
        <v>206</v>
      </c>
      <c r="S94" s="28">
        <v>210</v>
      </c>
      <c r="T94" s="28">
        <v>230</v>
      </c>
      <c r="U94" s="28">
        <v>232</v>
      </c>
      <c r="V94" s="28">
        <v>232</v>
      </c>
    </row>
    <row r="95" spans="1:22" ht="38.25" x14ac:dyDescent="0.2">
      <c r="A95" s="28" t="s">
        <v>68</v>
      </c>
      <c r="B95" s="28" t="s">
        <v>86</v>
      </c>
      <c r="C95" s="28"/>
      <c r="D95" s="28"/>
      <c r="E95" s="28"/>
      <c r="F95" s="28"/>
      <c r="G95" s="28"/>
      <c r="H95" s="28"/>
      <c r="I95" s="28"/>
      <c r="J95" s="28"/>
      <c r="K95" s="28"/>
      <c r="L95" s="28"/>
      <c r="M95" s="28"/>
      <c r="N95" s="28"/>
      <c r="O95" s="28">
        <v>15</v>
      </c>
      <c r="P95" s="28">
        <v>16</v>
      </c>
      <c r="Q95" s="28">
        <v>17</v>
      </c>
      <c r="R95" s="28">
        <v>12</v>
      </c>
      <c r="S95" s="28">
        <v>8</v>
      </c>
      <c r="T95" s="28">
        <v>21</v>
      </c>
      <c r="U95" s="28">
        <v>19</v>
      </c>
      <c r="V95" s="28">
        <v>20</v>
      </c>
    </row>
    <row r="96" spans="1:22" ht="51" x14ac:dyDescent="0.2">
      <c r="A96" s="28" t="s">
        <v>68</v>
      </c>
      <c r="B96" s="28" t="s">
        <v>95</v>
      </c>
      <c r="C96" s="28">
        <f t="shared" ref="C96:V96" si="19">SUM(C97:C100)</f>
        <v>1476.5</v>
      </c>
      <c r="D96" s="28">
        <f t="shared" si="19"/>
        <v>1530.2800000000002</v>
      </c>
      <c r="E96" s="28">
        <f t="shared" si="19"/>
        <v>1564.98</v>
      </c>
      <c r="F96" s="28">
        <f t="shared" si="19"/>
        <v>1621.47</v>
      </c>
      <c r="G96" s="28">
        <f t="shared" si="19"/>
        <v>1731.24</v>
      </c>
      <c r="H96" s="28">
        <f t="shared" si="19"/>
        <v>1772.5500000000002</v>
      </c>
      <c r="I96" s="28">
        <f t="shared" si="19"/>
        <v>1807.67</v>
      </c>
      <c r="J96" s="28">
        <f t="shared" si="19"/>
        <v>1898.0300000000002</v>
      </c>
      <c r="K96" s="28">
        <f t="shared" si="19"/>
        <v>2662</v>
      </c>
      <c r="L96" s="28">
        <f t="shared" si="19"/>
        <v>2692.2</v>
      </c>
      <c r="M96" s="28">
        <f t="shared" si="19"/>
        <v>2839.0600000000004</v>
      </c>
      <c r="N96" s="28">
        <f t="shared" si="19"/>
        <v>2737.24</v>
      </c>
      <c r="O96" s="28">
        <f t="shared" si="19"/>
        <v>2960</v>
      </c>
      <c r="P96" s="28">
        <f t="shared" si="19"/>
        <v>2881</v>
      </c>
      <c r="Q96" s="28">
        <f t="shared" si="19"/>
        <v>2974</v>
      </c>
      <c r="R96" s="28">
        <f t="shared" si="19"/>
        <v>3116</v>
      </c>
      <c r="S96" s="28">
        <f t="shared" si="19"/>
        <v>3117</v>
      </c>
      <c r="T96" s="28">
        <f t="shared" si="19"/>
        <v>3166</v>
      </c>
      <c r="U96" s="28">
        <f t="shared" si="19"/>
        <v>3229</v>
      </c>
      <c r="V96" s="28">
        <f t="shared" si="19"/>
        <v>3251</v>
      </c>
    </row>
    <row r="97" spans="1:22" ht="38.25" x14ac:dyDescent="0.2">
      <c r="A97" s="28" t="s">
        <v>68</v>
      </c>
      <c r="B97" s="28" t="s">
        <v>96</v>
      </c>
      <c r="C97" s="28">
        <v>734</v>
      </c>
      <c r="D97" s="28">
        <v>757</v>
      </c>
      <c r="E97" s="28">
        <v>762</v>
      </c>
      <c r="F97" s="28">
        <v>787</v>
      </c>
      <c r="G97" s="28">
        <v>805</v>
      </c>
      <c r="H97" s="28">
        <v>837</v>
      </c>
      <c r="I97" s="28">
        <v>884</v>
      </c>
      <c r="J97" s="28">
        <v>956</v>
      </c>
      <c r="K97" s="28">
        <v>1487</v>
      </c>
      <c r="L97" s="28">
        <v>1501</v>
      </c>
      <c r="M97" s="28">
        <v>1505</v>
      </c>
      <c r="N97" s="28">
        <v>1532</v>
      </c>
      <c r="O97" s="28">
        <v>1532</v>
      </c>
      <c r="P97" s="28">
        <v>1466</v>
      </c>
      <c r="Q97" s="28">
        <v>1484</v>
      </c>
      <c r="R97" s="28">
        <v>1538</v>
      </c>
      <c r="S97" s="28">
        <v>1542</v>
      </c>
      <c r="T97" s="28">
        <v>1582</v>
      </c>
      <c r="U97" s="28">
        <v>1617</v>
      </c>
      <c r="V97" s="28">
        <v>1616</v>
      </c>
    </row>
    <row r="98" spans="1:22" ht="38.25" x14ac:dyDescent="0.2">
      <c r="A98" s="28" t="s">
        <v>68</v>
      </c>
      <c r="B98" s="28" t="s">
        <v>97</v>
      </c>
      <c r="C98" s="28"/>
      <c r="D98" s="28"/>
      <c r="E98" s="28"/>
      <c r="F98" s="28">
        <v>8</v>
      </c>
      <c r="G98" s="28">
        <v>5</v>
      </c>
      <c r="H98" s="28">
        <v>0</v>
      </c>
      <c r="I98" s="28">
        <v>0</v>
      </c>
      <c r="J98" s="28">
        <v>0</v>
      </c>
      <c r="K98" s="28">
        <v>14</v>
      </c>
      <c r="L98" s="28">
        <v>14</v>
      </c>
      <c r="M98" s="28">
        <v>152</v>
      </c>
      <c r="N98" s="28">
        <v>14</v>
      </c>
      <c r="O98" s="28">
        <v>16</v>
      </c>
      <c r="P98" s="28">
        <v>2</v>
      </c>
      <c r="Q98" s="28">
        <v>2</v>
      </c>
      <c r="R98" s="28">
        <v>4</v>
      </c>
      <c r="S98" s="28">
        <v>0</v>
      </c>
      <c r="T98" s="28">
        <v>0</v>
      </c>
      <c r="U98" s="28">
        <v>0</v>
      </c>
      <c r="V98" s="28">
        <v>0</v>
      </c>
    </row>
    <row r="99" spans="1:22" ht="38.25" x14ac:dyDescent="0.2">
      <c r="A99" s="28" t="s">
        <v>68</v>
      </c>
      <c r="B99" s="28" t="s">
        <v>85</v>
      </c>
      <c r="C99" s="28">
        <v>742.5</v>
      </c>
      <c r="D99" s="28">
        <v>773.28000000000009</v>
      </c>
      <c r="E99" s="28">
        <v>802.98</v>
      </c>
      <c r="F99" s="28">
        <v>826.47</v>
      </c>
      <c r="G99" s="28">
        <v>921.24</v>
      </c>
      <c r="H99" s="28">
        <v>935.55000000000007</v>
      </c>
      <c r="I99" s="28">
        <v>923.67000000000007</v>
      </c>
      <c r="J99" s="28">
        <v>942.03000000000009</v>
      </c>
      <c r="K99" s="28">
        <v>1161</v>
      </c>
      <c r="L99" s="28">
        <v>1177.2</v>
      </c>
      <c r="M99" s="28">
        <v>1182.0600000000002</v>
      </c>
      <c r="N99" s="28">
        <v>1191.24</v>
      </c>
      <c r="O99" s="28">
        <v>1362</v>
      </c>
      <c r="P99" s="28">
        <v>1362</v>
      </c>
      <c r="Q99" s="28">
        <v>1404</v>
      </c>
      <c r="R99" s="28">
        <v>1497</v>
      </c>
      <c r="S99" s="28">
        <v>1566</v>
      </c>
      <c r="T99" s="28">
        <v>1575</v>
      </c>
      <c r="U99" s="28">
        <v>1593</v>
      </c>
      <c r="V99" s="28">
        <v>1619</v>
      </c>
    </row>
    <row r="100" spans="1:22" ht="38.25" x14ac:dyDescent="0.2">
      <c r="A100" s="28" t="s">
        <v>68</v>
      </c>
      <c r="B100" s="28" t="s">
        <v>86</v>
      </c>
      <c r="C100" s="28"/>
      <c r="D100" s="28"/>
      <c r="E100" s="28"/>
      <c r="F100" s="28"/>
      <c r="G100" s="28"/>
      <c r="H100" s="28"/>
      <c r="I100" s="28"/>
      <c r="J100" s="28"/>
      <c r="K100" s="28"/>
      <c r="L100" s="28"/>
      <c r="M100" s="28"/>
      <c r="N100" s="28"/>
      <c r="O100" s="28">
        <v>50</v>
      </c>
      <c r="P100" s="28">
        <v>51</v>
      </c>
      <c r="Q100" s="28">
        <v>84</v>
      </c>
      <c r="R100" s="28">
        <v>77</v>
      </c>
      <c r="S100" s="28">
        <v>9</v>
      </c>
      <c r="T100" s="28">
        <v>9</v>
      </c>
      <c r="U100" s="28">
        <v>19</v>
      </c>
      <c r="V100" s="28">
        <v>16</v>
      </c>
    </row>
    <row r="101" spans="1:22" ht="38.25" x14ac:dyDescent="0.2">
      <c r="A101" s="28" t="s">
        <v>68</v>
      </c>
      <c r="B101" s="28" t="s">
        <v>98</v>
      </c>
      <c r="C101" s="28">
        <f t="shared" ref="C101:V101" si="20">SUM(C102:C105)</f>
        <v>0</v>
      </c>
      <c r="D101" s="28">
        <f t="shared" si="20"/>
        <v>0</v>
      </c>
      <c r="E101" s="28">
        <f t="shared" si="20"/>
        <v>0</v>
      </c>
      <c r="F101" s="28">
        <f t="shared" si="20"/>
        <v>0</v>
      </c>
      <c r="G101" s="28">
        <f t="shared" si="20"/>
        <v>0</v>
      </c>
      <c r="H101" s="28">
        <f t="shared" si="20"/>
        <v>0</v>
      </c>
      <c r="I101" s="28">
        <f t="shared" si="20"/>
        <v>0</v>
      </c>
      <c r="J101" s="28">
        <f t="shared" si="20"/>
        <v>0</v>
      </c>
      <c r="K101" s="28">
        <f t="shared" si="20"/>
        <v>0</v>
      </c>
      <c r="L101" s="28">
        <f t="shared" si="20"/>
        <v>0</v>
      </c>
      <c r="M101" s="28">
        <f t="shared" si="20"/>
        <v>0</v>
      </c>
      <c r="N101" s="28">
        <f t="shared" si="20"/>
        <v>0</v>
      </c>
      <c r="O101" s="28">
        <f t="shared" si="20"/>
        <v>0</v>
      </c>
      <c r="P101" s="28">
        <f t="shared" si="20"/>
        <v>244</v>
      </c>
      <c r="Q101" s="28">
        <f t="shared" si="20"/>
        <v>248</v>
      </c>
      <c r="R101" s="28">
        <f t="shared" si="20"/>
        <v>271</v>
      </c>
      <c r="S101" s="28">
        <f t="shared" si="20"/>
        <v>275</v>
      </c>
      <c r="T101" s="28">
        <f t="shared" si="20"/>
        <v>279</v>
      </c>
      <c r="U101" s="28">
        <f t="shared" si="20"/>
        <v>280</v>
      </c>
      <c r="V101" s="28">
        <f t="shared" si="20"/>
        <v>284</v>
      </c>
    </row>
    <row r="102" spans="1:22" ht="51" x14ac:dyDescent="0.2">
      <c r="A102" s="28" t="s">
        <v>68</v>
      </c>
      <c r="B102" s="28" t="s">
        <v>99</v>
      </c>
      <c r="C102" s="28">
        <v>0</v>
      </c>
      <c r="D102" s="28">
        <v>0</v>
      </c>
      <c r="E102" s="28">
        <v>0</v>
      </c>
      <c r="F102" s="28">
        <v>0</v>
      </c>
      <c r="G102" s="28">
        <v>0</v>
      </c>
      <c r="H102" s="28">
        <v>0</v>
      </c>
      <c r="I102" s="28">
        <v>0</v>
      </c>
      <c r="J102" s="28">
        <v>0</v>
      </c>
      <c r="K102" s="28">
        <v>0</v>
      </c>
      <c r="L102" s="28">
        <v>0</v>
      </c>
      <c r="M102" s="28">
        <v>0</v>
      </c>
      <c r="N102" s="28">
        <v>0</v>
      </c>
      <c r="O102" s="28">
        <v>0</v>
      </c>
      <c r="P102" s="28">
        <v>25</v>
      </c>
      <c r="Q102" s="28">
        <v>24</v>
      </c>
      <c r="R102" s="28">
        <v>38</v>
      </c>
      <c r="S102" s="28">
        <v>40</v>
      </c>
      <c r="T102" s="28">
        <v>38</v>
      </c>
      <c r="U102" s="28">
        <v>36</v>
      </c>
      <c r="V102" s="28">
        <v>36</v>
      </c>
    </row>
    <row r="103" spans="1:22" ht="51" x14ac:dyDescent="0.2">
      <c r="A103" s="28" t="s">
        <v>68</v>
      </c>
      <c r="B103" s="28" t="s">
        <v>100</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row>
    <row r="104" spans="1:22" ht="38.25" x14ac:dyDescent="0.2">
      <c r="A104" s="28" t="s">
        <v>68</v>
      </c>
      <c r="B104" s="28" t="s">
        <v>85</v>
      </c>
      <c r="C104" s="28">
        <v>0</v>
      </c>
      <c r="D104" s="28">
        <v>0</v>
      </c>
      <c r="E104" s="28">
        <v>0</v>
      </c>
      <c r="F104" s="28">
        <v>0</v>
      </c>
      <c r="G104" s="28">
        <v>0</v>
      </c>
      <c r="H104" s="28">
        <v>0</v>
      </c>
      <c r="I104" s="28">
        <v>0</v>
      </c>
      <c r="J104" s="28">
        <v>0</v>
      </c>
      <c r="K104" s="28">
        <v>0</v>
      </c>
      <c r="L104" s="28">
        <v>0</v>
      </c>
      <c r="M104" s="28">
        <v>0</v>
      </c>
      <c r="N104" s="28">
        <v>0</v>
      </c>
      <c r="O104" s="28">
        <v>0</v>
      </c>
      <c r="P104" s="28">
        <v>219</v>
      </c>
      <c r="Q104" s="28">
        <v>222</v>
      </c>
      <c r="R104" s="28">
        <v>227</v>
      </c>
      <c r="S104" s="28">
        <v>226</v>
      </c>
      <c r="T104" s="28">
        <v>235</v>
      </c>
      <c r="U104" s="28">
        <v>241</v>
      </c>
      <c r="V104" s="28">
        <v>245</v>
      </c>
    </row>
    <row r="105" spans="1:22" ht="38.25" x14ac:dyDescent="0.2">
      <c r="A105" s="28" t="s">
        <v>68</v>
      </c>
      <c r="B105" s="28" t="s">
        <v>86</v>
      </c>
      <c r="C105" s="28">
        <v>0</v>
      </c>
      <c r="D105" s="28">
        <v>0</v>
      </c>
      <c r="E105" s="28">
        <v>0</v>
      </c>
      <c r="F105" s="28">
        <v>0</v>
      </c>
      <c r="G105" s="28">
        <v>0</v>
      </c>
      <c r="H105" s="28">
        <v>0</v>
      </c>
      <c r="I105" s="28">
        <v>0</v>
      </c>
      <c r="J105" s="28">
        <v>0</v>
      </c>
      <c r="K105" s="28">
        <v>0</v>
      </c>
      <c r="L105" s="28">
        <v>0</v>
      </c>
      <c r="M105" s="28">
        <v>0</v>
      </c>
      <c r="N105" s="28">
        <v>0</v>
      </c>
      <c r="O105" s="28">
        <v>0</v>
      </c>
      <c r="P105" s="28">
        <v>0</v>
      </c>
      <c r="Q105" s="28">
        <v>2</v>
      </c>
      <c r="R105" s="28">
        <v>6</v>
      </c>
      <c r="S105" s="28">
        <v>9</v>
      </c>
      <c r="T105" s="28">
        <v>6</v>
      </c>
      <c r="U105" s="28">
        <v>3</v>
      </c>
      <c r="V105" s="28">
        <v>3</v>
      </c>
    </row>
    <row r="106" spans="1:22" ht="38.25" x14ac:dyDescent="0.2">
      <c r="A106" s="28" t="s">
        <v>68</v>
      </c>
      <c r="B106" s="28" t="s">
        <v>70</v>
      </c>
      <c r="C106" s="28"/>
      <c r="D106" s="28"/>
      <c r="E106" s="28"/>
      <c r="F106" s="28"/>
      <c r="G106" s="28"/>
      <c r="H106" s="28"/>
      <c r="I106" s="28"/>
      <c r="J106" s="28"/>
      <c r="K106" s="28"/>
      <c r="L106" s="28"/>
      <c r="M106" s="28"/>
      <c r="N106" s="28"/>
      <c r="O106" s="28"/>
      <c r="P106" s="28">
        <f t="shared" ref="P106:V106" si="21">SUM(P107:P111)</f>
        <v>1049</v>
      </c>
      <c r="Q106" s="28">
        <f t="shared" si="21"/>
        <v>1111</v>
      </c>
      <c r="R106" s="28">
        <f t="shared" si="21"/>
        <v>1125</v>
      </c>
      <c r="S106" s="28">
        <f t="shared" si="21"/>
        <v>1122</v>
      </c>
      <c r="T106" s="28">
        <f t="shared" si="21"/>
        <v>1181</v>
      </c>
      <c r="U106" s="28">
        <f t="shared" si="21"/>
        <v>1280</v>
      </c>
      <c r="V106" s="28">
        <f t="shared" si="21"/>
        <v>1281</v>
      </c>
    </row>
    <row r="107" spans="1:22" ht="51" x14ac:dyDescent="0.2">
      <c r="A107" s="28" t="s">
        <v>101</v>
      </c>
      <c r="B107" s="28" t="s">
        <v>102</v>
      </c>
      <c r="C107" s="28"/>
      <c r="D107" s="28"/>
      <c r="E107" s="28"/>
      <c r="F107" s="28"/>
      <c r="G107" s="28"/>
      <c r="H107" s="28"/>
      <c r="I107" s="28"/>
      <c r="J107" s="28"/>
      <c r="K107" s="28"/>
      <c r="L107" s="28"/>
      <c r="M107" s="28"/>
      <c r="N107" s="28"/>
      <c r="O107" s="28"/>
      <c r="P107" s="28">
        <f>343-63</f>
        <v>280</v>
      </c>
      <c r="Q107" s="28">
        <f>371-61</f>
        <v>310</v>
      </c>
      <c r="R107" s="28">
        <f>361-62</f>
        <v>299</v>
      </c>
      <c r="S107" s="28">
        <f>372-58</f>
        <v>314</v>
      </c>
      <c r="T107" s="28">
        <f>403-43</f>
        <v>360</v>
      </c>
      <c r="U107" s="28">
        <f>398-30</f>
        <v>368</v>
      </c>
      <c r="V107" s="28">
        <v>400</v>
      </c>
    </row>
    <row r="108" spans="1:22" ht="51" x14ac:dyDescent="0.2">
      <c r="A108" s="28" t="s">
        <v>68</v>
      </c>
      <c r="B108" s="28" t="s">
        <v>103</v>
      </c>
      <c r="C108" s="28"/>
      <c r="D108" s="28"/>
      <c r="E108" s="28"/>
      <c r="F108" s="28"/>
      <c r="G108" s="28"/>
      <c r="H108" s="28"/>
      <c r="I108" s="28"/>
      <c r="J108" s="28"/>
      <c r="K108" s="28"/>
      <c r="L108" s="28"/>
      <c r="M108" s="28"/>
      <c r="N108" s="28"/>
      <c r="O108" s="28"/>
      <c r="P108" s="28">
        <v>10</v>
      </c>
      <c r="Q108" s="28">
        <v>16</v>
      </c>
      <c r="R108" s="28">
        <v>20</v>
      </c>
      <c r="S108" s="28">
        <v>20</v>
      </c>
      <c r="T108" s="28">
        <v>20</v>
      </c>
      <c r="U108" s="28">
        <v>21</v>
      </c>
      <c r="V108" s="28">
        <v>18</v>
      </c>
    </row>
    <row r="109" spans="1:22" ht="51" x14ac:dyDescent="0.2">
      <c r="A109" s="28" t="s">
        <v>101</v>
      </c>
      <c r="B109" s="28" t="s">
        <v>104</v>
      </c>
      <c r="C109" s="28"/>
      <c r="D109" s="28"/>
      <c r="E109" s="28"/>
      <c r="F109" s="28"/>
      <c r="G109" s="28"/>
      <c r="H109" s="28"/>
      <c r="I109" s="28"/>
      <c r="J109" s="28"/>
      <c r="K109" s="28"/>
      <c r="L109" s="28"/>
      <c r="M109" s="28"/>
      <c r="N109" s="28"/>
      <c r="O109" s="28"/>
      <c r="P109" s="28">
        <v>622</v>
      </c>
      <c r="Q109" s="28">
        <v>642</v>
      </c>
      <c r="R109" s="28">
        <v>651</v>
      </c>
      <c r="S109" s="28">
        <v>643</v>
      </c>
      <c r="T109" s="28">
        <v>680</v>
      </c>
      <c r="U109" s="28">
        <v>714</v>
      </c>
      <c r="V109" s="28">
        <v>730</v>
      </c>
    </row>
    <row r="110" spans="1:22" ht="38.25" x14ac:dyDescent="0.2">
      <c r="A110" s="28" t="s">
        <v>68</v>
      </c>
      <c r="B110" s="28" t="s">
        <v>105</v>
      </c>
      <c r="C110" s="28"/>
      <c r="D110" s="28"/>
      <c r="E110" s="28"/>
      <c r="F110" s="28"/>
      <c r="G110" s="28"/>
      <c r="H110" s="28"/>
      <c r="I110" s="28"/>
      <c r="J110" s="28"/>
      <c r="K110" s="28"/>
      <c r="L110" s="28"/>
      <c r="M110" s="28"/>
      <c r="N110" s="28"/>
      <c r="O110" s="28"/>
      <c r="P110" s="28">
        <v>85</v>
      </c>
      <c r="Q110" s="28">
        <v>87</v>
      </c>
      <c r="R110" s="28">
        <v>92</v>
      </c>
      <c r="S110" s="28">
        <v>91</v>
      </c>
      <c r="T110" s="28">
        <v>86</v>
      </c>
      <c r="U110" s="28">
        <v>86</v>
      </c>
      <c r="V110" s="28">
        <v>82</v>
      </c>
    </row>
    <row r="111" spans="1:22" ht="51" x14ac:dyDescent="0.2">
      <c r="A111" s="28" t="s">
        <v>68</v>
      </c>
      <c r="B111" s="28" t="s">
        <v>106</v>
      </c>
      <c r="C111" s="28"/>
      <c r="D111" s="28"/>
      <c r="E111" s="28"/>
      <c r="F111" s="28"/>
      <c r="G111" s="28"/>
      <c r="H111" s="28"/>
      <c r="I111" s="28"/>
      <c r="J111" s="28"/>
      <c r="K111" s="28"/>
      <c r="L111" s="28"/>
      <c r="M111" s="28"/>
      <c r="N111" s="28"/>
      <c r="O111" s="28"/>
      <c r="P111" s="28">
        <v>52</v>
      </c>
      <c r="Q111" s="28">
        <v>56</v>
      </c>
      <c r="R111" s="28">
        <v>63</v>
      </c>
      <c r="S111" s="28">
        <v>54</v>
      </c>
      <c r="T111" s="28">
        <v>35</v>
      </c>
      <c r="U111" s="28">
        <v>91</v>
      </c>
      <c r="V111" s="28">
        <v>51</v>
      </c>
    </row>
    <row r="112" spans="1:22" ht="38.25" x14ac:dyDescent="0.2">
      <c r="A112" s="28" t="s">
        <v>68</v>
      </c>
      <c r="B112" s="28" t="s">
        <v>107</v>
      </c>
      <c r="C112" s="28"/>
      <c r="D112" s="28"/>
      <c r="E112" s="28"/>
      <c r="F112" s="28"/>
      <c r="G112" s="28"/>
      <c r="H112" s="28"/>
      <c r="I112" s="28"/>
      <c r="J112" s="28"/>
      <c r="K112" s="28"/>
      <c r="L112" s="28"/>
      <c r="M112" s="28"/>
      <c r="N112" s="28"/>
      <c r="O112" s="28"/>
      <c r="P112" s="28">
        <f t="shared" ref="P112:V112" si="22">SUM(P113:P118)</f>
        <v>1049</v>
      </c>
      <c r="Q112" s="28">
        <f t="shared" si="22"/>
        <v>1111</v>
      </c>
      <c r="R112" s="28">
        <f t="shared" si="22"/>
        <v>1125</v>
      </c>
      <c r="S112" s="28">
        <f t="shared" si="22"/>
        <v>1122</v>
      </c>
      <c r="T112" s="28">
        <f t="shared" si="22"/>
        <v>1181</v>
      </c>
      <c r="U112" s="28">
        <f t="shared" si="22"/>
        <v>1280</v>
      </c>
      <c r="V112" s="28">
        <f t="shared" si="22"/>
        <v>1281</v>
      </c>
    </row>
    <row r="113" spans="1:22" ht="12.75" x14ac:dyDescent="0.2">
      <c r="A113" s="28" t="s">
        <v>101</v>
      </c>
      <c r="B113" s="28" t="s">
        <v>108</v>
      </c>
      <c r="C113" s="28"/>
      <c r="D113" s="28"/>
      <c r="E113" s="28"/>
      <c r="F113" s="28"/>
      <c r="G113" s="28"/>
      <c r="H113" s="28"/>
      <c r="I113" s="28"/>
      <c r="J113" s="28"/>
      <c r="K113" s="28"/>
      <c r="L113" s="28"/>
      <c r="M113" s="28"/>
      <c r="N113" s="28"/>
      <c r="O113" s="28"/>
      <c r="P113" s="28">
        <v>278</v>
      </c>
      <c r="Q113" s="28">
        <v>277</v>
      </c>
      <c r="R113" s="28">
        <v>267</v>
      </c>
      <c r="S113" s="28">
        <v>268</v>
      </c>
      <c r="T113" s="28">
        <v>270</v>
      </c>
      <c r="U113" s="28">
        <v>272</v>
      </c>
      <c r="V113" s="28">
        <v>245</v>
      </c>
    </row>
    <row r="114" spans="1:22" ht="12.75" x14ac:dyDescent="0.2">
      <c r="A114" s="28" t="s">
        <v>68</v>
      </c>
      <c r="B114" s="28" t="s">
        <v>109</v>
      </c>
      <c r="C114" s="28"/>
      <c r="D114" s="28"/>
      <c r="E114" s="28"/>
      <c r="F114" s="28"/>
      <c r="G114" s="28"/>
      <c r="H114" s="28"/>
      <c r="I114" s="28"/>
      <c r="J114" s="28"/>
      <c r="K114" s="28"/>
      <c r="L114" s="28"/>
      <c r="M114" s="28"/>
      <c r="N114" s="28"/>
      <c r="O114" s="28"/>
      <c r="P114" s="28">
        <v>44</v>
      </c>
      <c r="Q114" s="28">
        <v>51</v>
      </c>
      <c r="R114" s="28">
        <v>58</v>
      </c>
      <c r="S114" s="28">
        <v>65</v>
      </c>
      <c r="T114" s="28">
        <v>70</v>
      </c>
      <c r="U114" s="28">
        <v>84</v>
      </c>
      <c r="V114" s="28">
        <v>74</v>
      </c>
    </row>
    <row r="115" spans="1:22" ht="12.75" x14ac:dyDescent="0.2">
      <c r="A115" s="28" t="s">
        <v>68</v>
      </c>
      <c r="B115" s="28" t="s">
        <v>110</v>
      </c>
      <c r="C115" s="28"/>
      <c r="D115" s="28"/>
      <c r="E115" s="28"/>
      <c r="F115" s="28"/>
      <c r="G115" s="28"/>
      <c r="H115" s="28"/>
      <c r="I115" s="28"/>
      <c r="J115" s="28"/>
      <c r="K115" s="28"/>
      <c r="L115" s="28"/>
      <c r="M115" s="28"/>
      <c r="N115" s="28"/>
      <c r="O115" s="28"/>
      <c r="P115" s="28">
        <f>411-63</f>
        <v>348</v>
      </c>
      <c r="Q115" s="28">
        <f>430-61</f>
        <v>369</v>
      </c>
      <c r="R115" s="28">
        <f>436-62</f>
        <v>374</v>
      </c>
      <c r="S115" s="28">
        <f>423-58</f>
        <v>365</v>
      </c>
      <c r="T115" s="28">
        <f>454-43</f>
        <v>411</v>
      </c>
      <c r="U115" s="28">
        <f>527-30</f>
        <v>497</v>
      </c>
      <c r="V115" s="28">
        <v>504</v>
      </c>
    </row>
    <row r="116" spans="1:22" ht="12.75" x14ac:dyDescent="0.2">
      <c r="A116" s="28" t="s">
        <v>68</v>
      </c>
      <c r="B116" s="28" t="s">
        <v>111</v>
      </c>
      <c r="C116" s="28"/>
      <c r="D116" s="28"/>
      <c r="E116" s="28"/>
      <c r="F116" s="28"/>
      <c r="G116" s="28"/>
      <c r="H116" s="28"/>
      <c r="I116" s="28"/>
      <c r="J116" s="28"/>
      <c r="K116" s="28"/>
      <c r="L116" s="28"/>
      <c r="M116" s="28"/>
      <c r="N116" s="28"/>
      <c r="O116" s="28"/>
      <c r="P116" s="28">
        <v>294</v>
      </c>
      <c r="Q116" s="28">
        <v>324</v>
      </c>
      <c r="R116" s="28">
        <v>334</v>
      </c>
      <c r="S116" s="28">
        <v>333</v>
      </c>
      <c r="T116" s="28">
        <v>344</v>
      </c>
      <c r="U116" s="28">
        <v>340</v>
      </c>
      <c r="V116" s="28">
        <v>343</v>
      </c>
    </row>
    <row r="117" spans="1:22" ht="12.75" x14ac:dyDescent="0.2">
      <c r="A117" s="28" t="s">
        <v>68</v>
      </c>
      <c r="B117" s="28" t="s">
        <v>112</v>
      </c>
      <c r="C117" s="28"/>
      <c r="D117" s="28"/>
      <c r="E117" s="28"/>
      <c r="F117" s="28"/>
      <c r="G117" s="28"/>
      <c r="H117" s="28"/>
      <c r="I117" s="28"/>
      <c r="J117" s="28"/>
      <c r="K117" s="28"/>
      <c r="L117" s="28"/>
      <c r="M117" s="28"/>
      <c r="N117" s="28"/>
      <c r="O117" s="28"/>
      <c r="P117" s="28">
        <v>0</v>
      </c>
      <c r="Q117" s="28">
        <v>3</v>
      </c>
      <c r="R117" s="28">
        <v>0</v>
      </c>
      <c r="S117" s="28">
        <v>0</v>
      </c>
      <c r="T117" s="28">
        <v>0</v>
      </c>
      <c r="U117" s="28">
        <v>1</v>
      </c>
      <c r="V117" s="28">
        <v>33</v>
      </c>
    </row>
    <row r="118" spans="1:22" ht="25.5" x14ac:dyDescent="0.2">
      <c r="A118" s="28" t="s">
        <v>68</v>
      </c>
      <c r="B118" s="28" t="s">
        <v>113</v>
      </c>
      <c r="C118" s="28"/>
      <c r="D118" s="28"/>
      <c r="E118" s="28"/>
      <c r="F118" s="28"/>
      <c r="G118" s="28"/>
      <c r="H118" s="28"/>
      <c r="I118" s="28"/>
      <c r="J118" s="28"/>
      <c r="K118" s="28"/>
      <c r="L118" s="28"/>
      <c r="M118" s="28"/>
      <c r="N118" s="28"/>
      <c r="O118" s="28"/>
      <c r="P118" s="28">
        <v>85</v>
      </c>
      <c r="Q118" s="28">
        <v>87</v>
      </c>
      <c r="R118" s="28">
        <v>92</v>
      </c>
      <c r="S118" s="28">
        <v>91</v>
      </c>
      <c r="T118" s="28">
        <v>86</v>
      </c>
      <c r="U118" s="28">
        <v>86</v>
      </c>
      <c r="V118" s="28">
        <v>82</v>
      </c>
    </row>
    <row r="119" spans="1:22" ht="38.25" x14ac:dyDescent="0.2">
      <c r="A119" s="28" t="s">
        <v>68</v>
      </c>
      <c r="B119" s="28" t="s">
        <v>107</v>
      </c>
      <c r="C119" s="28"/>
      <c r="D119" s="28"/>
      <c r="E119" s="28"/>
      <c r="F119" s="28"/>
      <c r="G119" s="28"/>
      <c r="H119" s="28"/>
      <c r="I119" s="28"/>
      <c r="J119" s="28"/>
      <c r="K119" s="28"/>
      <c r="L119" s="28"/>
      <c r="M119" s="28"/>
      <c r="N119" s="28"/>
      <c r="O119" s="28"/>
      <c r="P119" s="28">
        <f t="shared" ref="P119:V119" si="23">SUM(P120:P124)</f>
        <v>125</v>
      </c>
      <c r="Q119" s="28">
        <f t="shared" si="23"/>
        <v>129</v>
      </c>
      <c r="R119" s="28">
        <f t="shared" si="23"/>
        <v>132</v>
      </c>
      <c r="S119" s="28">
        <f t="shared" si="23"/>
        <v>132</v>
      </c>
      <c r="T119" s="28">
        <f t="shared" si="23"/>
        <v>118</v>
      </c>
      <c r="U119" s="28">
        <f t="shared" si="23"/>
        <v>115</v>
      </c>
      <c r="V119" s="28">
        <f t="shared" si="23"/>
        <v>86</v>
      </c>
    </row>
    <row r="120" spans="1:22" s="7" customFormat="1" ht="12.75" x14ac:dyDescent="0.2">
      <c r="A120" s="28" t="s">
        <v>68</v>
      </c>
      <c r="B120" s="28" t="s">
        <v>108</v>
      </c>
      <c r="C120" s="28"/>
      <c r="D120" s="28"/>
      <c r="E120" s="28"/>
      <c r="F120" s="28"/>
      <c r="G120" s="28"/>
      <c r="H120" s="28"/>
      <c r="I120" s="28"/>
      <c r="J120" s="28"/>
      <c r="K120" s="28"/>
      <c r="L120" s="28"/>
      <c r="M120" s="28"/>
      <c r="N120" s="28"/>
      <c r="O120" s="28"/>
      <c r="P120" s="28">
        <v>7</v>
      </c>
      <c r="Q120" s="28">
        <v>7</v>
      </c>
      <c r="R120" s="28">
        <v>7</v>
      </c>
      <c r="S120" s="28">
        <v>7</v>
      </c>
      <c r="T120" s="28">
        <v>7</v>
      </c>
      <c r="U120" s="28">
        <v>7</v>
      </c>
      <c r="V120" s="28">
        <v>7</v>
      </c>
    </row>
    <row r="121" spans="1:22" s="7" customFormat="1" ht="12.75" x14ac:dyDescent="0.2">
      <c r="A121" s="28" t="s">
        <v>68</v>
      </c>
      <c r="B121" s="28" t="s">
        <v>110</v>
      </c>
      <c r="C121" s="28"/>
      <c r="D121" s="28"/>
      <c r="E121" s="28"/>
      <c r="F121" s="28"/>
      <c r="G121" s="28"/>
      <c r="H121" s="28"/>
      <c r="I121" s="28"/>
      <c r="J121" s="28"/>
      <c r="K121" s="28"/>
      <c r="L121" s="28"/>
      <c r="M121" s="28"/>
      <c r="N121" s="28"/>
      <c r="O121" s="28"/>
      <c r="P121" s="28">
        <v>63</v>
      </c>
      <c r="Q121" s="28">
        <v>61</v>
      </c>
      <c r="R121" s="28">
        <v>62</v>
      </c>
      <c r="S121" s="28">
        <f>3+58</f>
        <v>61</v>
      </c>
      <c r="T121" s="28">
        <v>43</v>
      </c>
      <c r="U121" s="28">
        <v>30</v>
      </c>
      <c r="V121" s="28">
        <v>0</v>
      </c>
    </row>
    <row r="122" spans="1:22" s="7" customFormat="1" ht="12.75" x14ac:dyDescent="0.2">
      <c r="A122" s="28" t="s">
        <v>68</v>
      </c>
      <c r="B122" s="28" t="s">
        <v>111</v>
      </c>
      <c r="C122" s="28"/>
      <c r="D122" s="28"/>
      <c r="E122" s="28"/>
      <c r="F122" s="28"/>
      <c r="G122" s="28"/>
      <c r="H122" s="28"/>
      <c r="I122" s="28"/>
      <c r="J122" s="28"/>
      <c r="K122" s="28"/>
      <c r="L122" s="28"/>
      <c r="M122" s="28"/>
      <c r="N122" s="28"/>
      <c r="O122" s="28"/>
      <c r="P122" s="28">
        <v>16</v>
      </c>
      <c r="Q122" s="28">
        <v>16</v>
      </c>
      <c r="R122" s="28">
        <v>15</v>
      </c>
      <c r="S122" s="28">
        <v>15</v>
      </c>
      <c r="T122" s="28">
        <v>20</v>
      </c>
      <c r="U122" s="28">
        <v>30</v>
      </c>
      <c r="V122" s="28">
        <v>16</v>
      </c>
    </row>
    <row r="123" spans="1:22" s="7" customFormat="1" ht="12.75" x14ac:dyDescent="0.2">
      <c r="A123" s="28" t="s">
        <v>68</v>
      </c>
      <c r="B123" s="28" t="s">
        <v>112</v>
      </c>
      <c r="C123" s="28"/>
      <c r="D123" s="28"/>
      <c r="E123" s="28"/>
      <c r="F123" s="28"/>
      <c r="G123" s="28"/>
      <c r="H123" s="28"/>
      <c r="I123" s="28"/>
      <c r="J123" s="28"/>
      <c r="K123" s="28"/>
      <c r="L123" s="28"/>
      <c r="M123" s="28"/>
      <c r="N123" s="28"/>
      <c r="O123" s="28"/>
      <c r="P123" s="28">
        <v>39</v>
      </c>
      <c r="Q123" s="28">
        <v>45</v>
      </c>
      <c r="R123" s="28">
        <v>48</v>
      </c>
      <c r="S123" s="28">
        <v>48</v>
      </c>
      <c r="T123" s="28">
        <v>48</v>
      </c>
      <c r="U123" s="28">
        <v>48</v>
      </c>
      <c r="V123" s="28">
        <v>63</v>
      </c>
    </row>
    <row r="124" spans="1:22" s="7" customFormat="1" ht="25.5" x14ac:dyDescent="0.2">
      <c r="A124" s="28" t="s">
        <v>68</v>
      </c>
      <c r="B124" s="28" t="s">
        <v>113</v>
      </c>
      <c r="C124" s="28"/>
      <c r="D124" s="28"/>
      <c r="E124" s="28"/>
      <c r="F124" s="28"/>
      <c r="G124" s="28"/>
      <c r="H124" s="28"/>
      <c r="I124" s="28"/>
      <c r="J124" s="28"/>
      <c r="K124" s="28"/>
      <c r="L124" s="28"/>
      <c r="M124" s="28"/>
      <c r="N124" s="28"/>
      <c r="O124" s="28"/>
      <c r="P124" s="28">
        <v>0</v>
      </c>
      <c r="Q124" s="28">
        <v>0</v>
      </c>
      <c r="R124" s="28">
        <v>0</v>
      </c>
      <c r="S124" s="28">
        <v>1</v>
      </c>
      <c r="T124" s="28">
        <v>0</v>
      </c>
      <c r="U124" s="28">
        <v>0</v>
      </c>
      <c r="V124" s="28">
        <v>0</v>
      </c>
    </row>
    <row r="125" spans="1:22" ht="51" x14ac:dyDescent="0.2">
      <c r="A125" s="28" t="s">
        <v>68</v>
      </c>
      <c r="B125" s="28" t="s">
        <v>72</v>
      </c>
      <c r="C125" s="28"/>
      <c r="D125" s="28"/>
      <c r="E125" s="28"/>
      <c r="F125" s="28"/>
      <c r="G125" s="28"/>
      <c r="H125" s="28"/>
      <c r="I125" s="28"/>
      <c r="J125" s="28"/>
      <c r="K125" s="28"/>
      <c r="L125" s="28"/>
      <c r="M125" s="28"/>
      <c r="N125" s="28"/>
      <c r="O125" s="28"/>
      <c r="P125" s="28">
        <f t="shared" ref="P125:V125" si="24">SUM(P126:P130)</f>
        <v>15</v>
      </c>
      <c r="Q125" s="28">
        <f t="shared" si="24"/>
        <v>14</v>
      </c>
      <c r="R125" s="28">
        <f t="shared" si="24"/>
        <v>16</v>
      </c>
      <c r="S125" s="28">
        <f t="shared" si="24"/>
        <v>16</v>
      </c>
      <c r="T125" s="28">
        <f t="shared" si="24"/>
        <v>15</v>
      </c>
      <c r="U125" s="28">
        <f t="shared" si="24"/>
        <v>16</v>
      </c>
      <c r="V125" s="28">
        <f t="shared" si="24"/>
        <v>16</v>
      </c>
    </row>
    <row r="126" spans="1:22" ht="12.75" x14ac:dyDescent="0.2">
      <c r="A126" s="28" t="s">
        <v>68</v>
      </c>
      <c r="B126" s="28" t="s">
        <v>114</v>
      </c>
      <c r="C126" s="28"/>
      <c r="D126" s="28"/>
      <c r="E126" s="28"/>
      <c r="F126" s="28"/>
      <c r="G126" s="28"/>
      <c r="H126" s="28"/>
      <c r="I126" s="28"/>
      <c r="J126" s="28"/>
      <c r="K126" s="28"/>
      <c r="L126" s="28"/>
      <c r="M126" s="28"/>
      <c r="N126" s="28"/>
      <c r="O126" s="28"/>
      <c r="P126" s="28">
        <v>9</v>
      </c>
      <c r="Q126" s="28">
        <v>9</v>
      </c>
      <c r="R126" s="28">
        <v>9</v>
      </c>
      <c r="S126" s="28">
        <v>9</v>
      </c>
      <c r="T126" s="28">
        <v>9</v>
      </c>
      <c r="U126" s="28">
        <v>9</v>
      </c>
      <c r="V126" s="28">
        <v>9</v>
      </c>
    </row>
    <row r="127" spans="1:22" ht="25.5" x14ac:dyDescent="0.2">
      <c r="A127" s="28" t="s">
        <v>68</v>
      </c>
      <c r="B127" s="28" t="s">
        <v>115</v>
      </c>
      <c r="C127" s="28"/>
      <c r="D127" s="28"/>
      <c r="E127" s="28"/>
      <c r="F127" s="28"/>
      <c r="G127" s="28"/>
      <c r="H127" s="28"/>
      <c r="I127" s="28"/>
      <c r="J127" s="28"/>
      <c r="K127" s="28"/>
      <c r="L127" s="28"/>
      <c r="M127" s="28"/>
      <c r="N127" s="28"/>
      <c r="O127" s="28"/>
      <c r="P127" s="28">
        <v>1</v>
      </c>
      <c r="Q127" s="28">
        <v>0</v>
      </c>
      <c r="R127" s="28">
        <v>1</v>
      </c>
      <c r="S127" s="28">
        <v>1</v>
      </c>
      <c r="T127" s="28">
        <v>1</v>
      </c>
      <c r="U127" s="28">
        <v>1</v>
      </c>
      <c r="V127" s="28">
        <v>1</v>
      </c>
    </row>
    <row r="128" spans="1:22" ht="25.5" x14ac:dyDescent="0.2">
      <c r="A128" s="28" t="s">
        <v>68</v>
      </c>
      <c r="B128" s="28" t="s">
        <v>116</v>
      </c>
      <c r="C128" s="28"/>
      <c r="D128" s="28"/>
      <c r="E128" s="28"/>
      <c r="F128" s="28"/>
      <c r="G128" s="28"/>
      <c r="H128" s="28"/>
      <c r="I128" s="28"/>
      <c r="J128" s="28"/>
      <c r="K128" s="28"/>
      <c r="L128" s="28"/>
      <c r="M128" s="28"/>
      <c r="N128" s="28"/>
      <c r="O128" s="28"/>
      <c r="P128" s="28">
        <v>4</v>
      </c>
      <c r="Q128" s="28">
        <v>4</v>
      </c>
      <c r="R128" s="28">
        <v>4</v>
      </c>
      <c r="S128" s="28">
        <v>4</v>
      </c>
      <c r="T128" s="28">
        <v>4</v>
      </c>
      <c r="U128" s="28">
        <v>4</v>
      </c>
      <c r="V128" s="28">
        <v>4</v>
      </c>
    </row>
    <row r="129" spans="1:22" ht="25.5" x14ac:dyDescent="0.2">
      <c r="A129" s="28" t="s">
        <v>68</v>
      </c>
      <c r="B129" s="28" t="s">
        <v>117</v>
      </c>
      <c r="C129" s="28"/>
      <c r="D129" s="28"/>
      <c r="E129" s="28"/>
      <c r="F129" s="28"/>
      <c r="G129" s="28"/>
      <c r="H129" s="28"/>
      <c r="I129" s="28"/>
      <c r="J129" s="28"/>
      <c r="K129" s="28"/>
      <c r="L129" s="28"/>
      <c r="M129" s="28"/>
      <c r="N129" s="28"/>
      <c r="O129" s="28"/>
      <c r="P129" s="28">
        <v>0</v>
      </c>
      <c r="Q129" s="28">
        <v>0</v>
      </c>
      <c r="R129" s="28">
        <v>1</v>
      </c>
      <c r="S129" s="28">
        <v>1</v>
      </c>
      <c r="T129" s="28">
        <v>0</v>
      </c>
      <c r="U129" s="28">
        <v>1</v>
      </c>
      <c r="V129" s="28">
        <v>1</v>
      </c>
    </row>
    <row r="130" spans="1:22" ht="25.5" x14ac:dyDescent="0.2">
      <c r="A130" s="28" t="s">
        <v>68</v>
      </c>
      <c r="B130" s="28" t="s">
        <v>118</v>
      </c>
      <c r="C130" s="28"/>
      <c r="D130" s="28"/>
      <c r="E130" s="28"/>
      <c r="F130" s="28"/>
      <c r="G130" s="28"/>
      <c r="H130" s="28"/>
      <c r="I130" s="28"/>
      <c r="J130" s="28"/>
      <c r="K130" s="28"/>
      <c r="L130" s="28"/>
      <c r="M130" s="28"/>
      <c r="N130" s="28"/>
      <c r="O130" s="28"/>
      <c r="P130" s="28">
        <v>1</v>
      </c>
      <c r="Q130" s="28">
        <v>1</v>
      </c>
      <c r="R130" s="28">
        <v>1</v>
      </c>
      <c r="S130" s="28">
        <v>1</v>
      </c>
      <c r="T130" s="28">
        <v>1</v>
      </c>
      <c r="U130" s="28">
        <v>1</v>
      </c>
      <c r="V130" s="28">
        <v>1</v>
      </c>
    </row>
    <row r="131" spans="1:22" ht="38.25" x14ac:dyDescent="0.2">
      <c r="A131" s="28" t="s">
        <v>68</v>
      </c>
      <c r="B131" s="28" t="s">
        <v>119</v>
      </c>
      <c r="C131" s="28"/>
      <c r="D131" s="28"/>
      <c r="E131" s="28"/>
      <c r="F131" s="28"/>
      <c r="G131" s="28"/>
      <c r="H131" s="28"/>
      <c r="I131" s="28"/>
      <c r="J131" s="28"/>
      <c r="K131" s="28"/>
      <c r="L131" s="28"/>
      <c r="M131" s="28"/>
      <c r="N131" s="28"/>
      <c r="O131" s="28"/>
      <c r="P131" s="28">
        <f t="shared" ref="P131:V131" si="25">SUM(P132:P137)</f>
        <v>533</v>
      </c>
      <c r="Q131" s="28">
        <f t="shared" si="25"/>
        <v>552</v>
      </c>
      <c r="R131" s="28">
        <f t="shared" si="25"/>
        <v>561</v>
      </c>
      <c r="S131" s="28">
        <f t="shared" si="25"/>
        <v>561</v>
      </c>
      <c r="T131" s="28">
        <f t="shared" si="25"/>
        <v>580</v>
      </c>
      <c r="U131" s="28">
        <f t="shared" si="25"/>
        <v>583</v>
      </c>
      <c r="V131" s="28">
        <f t="shared" si="25"/>
        <v>582</v>
      </c>
    </row>
    <row r="132" spans="1:22" ht="25.5" x14ac:dyDescent="0.2">
      <c r="A132" s="28" t="s">
        <v>101</v>
      </c>
      <c r="B132" s="28" t="s">
        <v>120</v>
      </c>
      <c r="C132" s="28"/>
      <c r="D132" s="28"/>
      <c r="E132" s="28"/>
      <c r="F132" s="28"/>
      <c r="G132" s="28"/>
      <c r="H132" s="28"/>
      <c r="I132" s="28"/>
      <c r="J132" s="28"/>
      <c r="K132" s="28"/>
      <c r="L132" s="28"/>
      <c r="M132" s="28"/>
      <c r="N132" s="28"/>
      <c r="O132" s="28"/>
      <c r="P132" s="28">
        <v>106</v>
      </c>
      <c r="Q132" s="28">
        <v>109</v>
      </c>
      <c r="R132" s="28">
        <v>109</v>
      </c>
      <c r="S132" s="28">
        <v>109</v>
      </c>
      <c r="T132" s="28">
        <v>111</v>
      </c>
      <c r="U132" s="28">
        <v>112</v>
      </c>
      <c r="V132" s="28">
        <v>113</v>
      </c>
    </row>
    <row r="133" spans="1:22" ht="25.5" x14ac:dyDescent="0.2">
      <c r="A133" s="28" t="s">
        <v>101</v>
      </c>
      <c r="B133" s="28" t="s">
        <v>121</v>
      </c>
      <c r="C133" s="28"/>
      <c r="D133" s="28"/>
      <c r="E133" s="28"/>
      <c r="F133" s="28"/>
      <c r="G133" s="28"/>
      <c r="H133" s="28"/>
      <c r="I133" s="28"/>
      <c r="J133" s="28"/>
      <c r="K133" s="28"/>
      <c r="L133" s="28"/>
      <c r="M133" s="28"/>
      <c r="N133" s="28"/>
      <c r="O133" s="28"/>
      <c r="P133" s="28">
        <v>27</v>
      </c>
      <c r="Q133" s="28">
        <v>31</v>
      </c>
      <c r="R133" s="28">
        <v>31</v>
      </c>
      <c r="S133" s="28">
        <v>31</v>
      </c>
      <c r="T133" s="28">
        <v>33</v>
      </c>
      <c r="U133" s="28">
        <v>32</v>
      </c>
      <c r="V133" s="28">
        <v>32</v>
      </c>
    </row>
    <row r="134" spans="1:22" ht="25.5" x14ac:dyDescent="0.2">
      <c r="A134" s="28" t="s">
        <v>101</v>
      </c>
      <c r="B134" s="28" t="s">
        <v>122</v>
      </c>
      <c r="C134" s="28"/>
      <c r="D134" s="28"/>
      <c r="E134" s="28"/>
      <c r="F134" s="28"/>
      <c r="G134" s="28"/>
      <c r="H134" s="28"/>
      <c r="I134" s="28"/>
      <c r="J134" s="28"/>
      <c r="K134" s="28"/>
      <c r="L134" s="28"/>
      <c r="M134" s="28"/>
      <c r="N134" s="28"/>
      <c r="O134" s="28"/>
      <c r="P134" s="28">
        <v>1</v>
      </c>
      <c r="Q134" s="28">
        <v>3</v>
      </c>
      <c r="R134" s="28">
        <v>3</v>
      </c>
      <c r="S134" s="28">
        <v>3</v>
      </c>
      <c r="T134" s="28">
        <v>4</v>
      </c>
      <c r="U134" s="28">
        <v>4</v>
      </c>
      <c r="V134" s="28">
        <v>4</v>
      </c>
    </row>
    <row r="135" spans="1:22" ht="25.5" x14ac:dyDescent="0.2">
      <c r="A135" s="28" t="s">
        <v>101</v>
      </c>
      <c r="B135" s="28" t="s">
        <v>123</v>
      </c>
      <c r="C135" s="28"/>
      <c r="D135" s="28"/>
      <c r="E135" s="28"/>
      <c r="F135" s="28"/>
      <c r="G135" s="28"/>
      <c r="H135" s="28"/>
      <c r="I135" s="28"/>
      <c r="J135" s="28"/>
      <c r="K135" s="28"/>
      <c r="L135" s="28"/>
      <c r="M135" s="28"/>
      <c r="N135" s="28"/>
      <c r="O135" s="28"/>
      <c r="P135" s="28">
        <v>0</v>
      </c>
      <c r="Q135" s="28">
        <v>1</v>
      </c>
      <c r="R135" s="28">
        <v>1</v>
      </c>
      <c r="S135" s="28">
        <v>1</v>
      </c>
      <c r="T135" s="28">
        <v>1</v>
      </c>
      <c r="U135" s="28">
        <v>1</v>
      </c>
      <c r="V135" s="28">
        <v>1</v>
      </c>
    </row>
    <row r="136" spans="1:22" ht="25.5" x14ac:dyDescent="0.2">
      <c r="A136" s="28" t="s">
        <v>101</v>
      </c>
      <c r="B136" s="28" t="s">
        <v>124</v>
      </c>
      <c r="C136" s="28"/>
      <c r="D136" s="28"/>
      <c r="E136" s="28"/>
      <c r="F136" s="28"/>
      <c r="G136" s="28"/>
      <c r="H136" s="28"/>
      <c r="I136" s="28"/>
      <c r="J136" s="28"/>
      <c r="K136" s="28"/>
      <c r="L136" s="28"/>
      <c r="M136" s="28"/>
      <c r="N136" s="28"/>
      <c r="O136" s="28"/>
      <c r="P136" s="28">
        <v>398</v>
      </c>
      <c r="Q136" s="28">
        <v>407</v>
      </c>
      <c r="R136" s="28">
        <v>416</v>
      </c>
      <c r="S136" s="28">
        <v>416</v>
      </c>
      <c r="T136" s="28">
        <v>430</v>
      </c>
      <c r="U136" s="28">
        <v>433</v>
      </c>
      <c r="V136" s="28">
        <v>431</v>
      </c>
    </row>
    <row r="137" spans="1:22" ht="25.5" x14ac:dyDescent="0.2">
      <c r="A137" s="28" t="s">
        <v>101</v>
      </c>
      <c r="B137" s="28" t="s">
        <v>125</v>
      </c>
      <c r="C137" s="28"/>
      <c r="D137" s="28"/>
      <c r="E137" s="28"/>
      <c r="F137" s="28"/>
      <c r="G137" s="28"/>
      <c r="H137" s="28"/>
      <c r="I137" s="28"/>
      <c r="J137" s="28"/>
      <c r="K137" s="28"/>
      <c r="L137" s="28"/>
      <c r="M137" s="28"/>
      <c r="N137" s="28"/>
      <c r="O137" s="28"/>
      <c r="P137" s="28">
        <v>1</v>
      </c>
      <c r="Q137" s="28">
        <v>1</v>
      </c>
      <c r="R137" s="28">
        <v>1</v>
      </c>
      <c r="S137" s="28">
        <v>1</v>
      </c>
      <c r="T137" s="28">
        <v>1</v>
      </c>
      <c r="U137" s="28">
        <v>1</v>
      </c>
      <c r="V137" s="28">
        <v>1</v>
      </c>
    </row>
    <row r="138" spans="1:22" ht="51" x14ac:dyDescent="0.2">
      <c r="A138" s="28" t="s">
        <v>68</v>
      </c>
      <c r="B138" s="28" t="s">
        <v>126</v>
      </c>
      <c r="C138" s="28"/>
      <c r="D138" s="28"/>
      <c r="E138" s="28"/>
      <c r="F138" s="28"/>
      <c r="G138" s="28"/>
      <c r="H138" s="28"/>
      <c r="I138" s="28"/>
      <c r="J138" s="28"/>
      <c r="K138" s="28"/>
      <c r="L138" s="28"/>
      <c r="M138" s="28"/>
      <c r="N138" s="28"/>
      <c r="O138" s="28"/>
      <c r="P138" s="28">
        <f t="shared" ref="P138:V138" si="26">SUM(P139:P147)</f>
        <v>451</v>
      </c>
      <c r="Q138" s="28">
        <f t="shared" si="26"/>
        <v>473</v>
      </c>
      <c r="R138" s="28">
        <f t="shared" si="26"/>
        <v>491</v>
      </c>
      <c r="S138" s="28">
        <f t="shared" si="26"/>
        <v>491</v>
      </c>
      <c r="T138" s="28">
        <f t="shared" si="26"/>
        <v>567</v>
      </c>
      <c r="U138" s="28">
        <f t="shared" si="26"/>
        <v>575</v>
      </c>
      <c r="V138" s="28">
        <f t="shared" si="26"/>
        <v>572</v>
      </c>
    </row>
    <row r="139" spans="1:22" ht="25.5" x14ac:dyDescent="0.2">
      <c r="A139" s="28" t="s">
        <v>101</v>
      </c>
      <c r="B139" s="28" t="s">
        <v>127</v>
      </c>
      <c r="C139" s="28"/>
      <c r="D139" s="28"/>
      <c r="E139" s="28"/>
      <c r="F139" s="28"/>
      <c r="G139" s="28"/>
      <c r="H139" s="28"/>
      <c r="I139" s="28"/>
      <c r="J139" s="28"/>
      <c r="K139" s="28"/>
      <c r="L139" s="28"/>
      <c r="M139" s="28"/>
      <c r="N139" s="28"/>
      <c r="O139" s="28"/>
      <c r="P139" s="28">
        <v>0</v>
      </c>
      <c r="Q139" s="28">
        <v>0</v>
      </c>
      <c r="R139" s="28">
        <v>0</v>
      </c>
      <c r="S139" s="28">
        <v>0</v>
      </c>
      <c r="T139" s="28">
        <v>72</v>
      </c>
      <c r="U139" s="28">
        <v>72</v>
      </c>
      <c r="V139" s="28">
        <v>72</v>
      </c>
    </row>
    <row r="140" spans="1:22" ht="38.25" x14ac:dyDescent="0.2">
      <c r="A140" s="28" t="s">
        <v>101</v>
      </c>
      <c r="B140" s="28" t="s">
        <v>128</v>
      </c>
      <c r="C140" s="28"/>
      <c r="D140" s="28"/>
      <c r="E140" s="28"/>
      <c r="F140" s="28"/>
      <c r="G140" s="28"/>
      <c r="H140" s="28"/>
      <c r="I140" s="28"/>
      <c r="J140" s="28"/>
      <c r="K140" s="28"/>
      <c r="L140" s="28"/>
      <c r="M140" s="28"/>
      <c r="N140" s="28"/>
      <c r="O140" s="28"/>
      <c r="P140" s="28">
        <v>0</v>
      </c>
      <c r="Q140" s="28">
        <v>0</v>
      </c>
      <c r="R140" s="28">
        <v>0</v>
      </c>
      <c r="S140" s="28">
        <v>0</v>
      </c>
      <c r="T140" s="28">
        <v>3</v>
      </c>
      <c r="U140" s="28">
        <v>3</v>
      </c>
      <c r="V140" s="28">
        <v>3</v>
      </c>
    </row>
    <row r="141" spans="1:22" ht="38.25" x14ac:dyDescent="0.2">
      <c r="A141" s="28" t="s">
        <v>101</v>
      </c>
      <c r="B141" s="28" t="s">
        <v>129</v>
      </c>
      <c r="C141" s="28"/>
      <c r="D141" s="28"/>
      <c r="E141" s="28"/>
      <c r="F141" s="28"/>
      <c r="G141" s="28"/>
      <c r="H141" s="28"/>
      <c r="I141" s="28"/>
      <c r="J141" s="28"/>
      <c r="K141" s="28"/>
      <c r="L141" s="28"/>
      <c r="M141" s="28"/>
      <c r="N141" s="28"/>
      <c r="O141" s="28"/>
      <c r="P141" s="28">
        <v>0</v>
      </c>
      <c r="Q141" s="28">
        <v>0</v>
      </c>
      <c r="R141" s="28">
        <v>0</v>
      </c>
      <c r="S141" s="28">
        <v>0</v>
      </c>
      <c r="T141" s="28">
        <v>1</v>
      </c>
      <c r="U141" s="28">
        <v>1</v>
      </c>
      <c r="V141" s="28">
        <v>1</v>
      </c>
    </row>
    <row r="142" spans="1:22" ht="12.75" x14ac:dyDescent="0.2">
      <c r="A142" s="28" t="s">
        <v>101</v>
      </c>
      <c r="B142" s="28" t="s">
        <v>130</v>
      </c>
      <c r="C142" s="28"/>
      <c r="D142" s="28"/>
      <c r="E142" s="28"/>
      <c r="F142" s="28"/>
      <c r="G142" s="28"/>
      <c r="H142" s="28"/>
      <c r="I142" s="28"/>
      <c r="J142" s="28"/>
      <c r="K142" s="28"/>
      <c r="L142" s="28"/>
      <c r="M142" s="28"/>
      <c r="N142" s="28"/>
      <c r="O142" s="28"/>
      <c r="P142" s="28">
        <v>422</v>
      </c>
      <c r="Q142" s="28">
        <v>439</v>
      </c>
      <c r="R142" s="28">
        <v>463</v>
      </c>
      <c r="S142" s="28">
        <v>464</v>
      </c>
      <c r="T142" s="28">
        <v>466</v>
      </c>
      <c r="U142" s="28">
        <v>474</v>
      </c>
      <c r="V142" s="28">
        <v>471</v>
      </c>
    </row>
    <row r="143" spans="1:22" ht="25.5" x14ac:dyDescent="0.2">
      <c r="A143" s="28" t="s">
        <v>101</v>
      </c>
      <c r="B143" s="28" t="s">
        <v>131</v>
      </c>
      <c r="C143" s="28"/>
      <c r="D143" s="28"/>
      <c r="E143" s="28"/>
      <c r="F143" s="28"/>
      <c r="G143" s="28"/>
      <c r="H143" s="28"/>
      <c r="I143" s="28"/>
      <c r="J143" s="28"/>
      <c r="K143" s="28"/>
      <c r="L143" s="28"/>
      <c r="M143" s="28"/>
      <c r="N143" s="28"/>
      <c r="O143" s="28"/>
      <c r="P143" s="28">
        <v>12</v>
      </c>
      <c r="Q143" s="28">
        <v>12</v>
      </c>
      <c r="R143" s="28">
        <v>10</v>
      </c>
      <c r="S143" s="28">
        <v>10</v>
      </c>
      <c r="T143" s="28">
        <v>9</v>
      </c>
      <c r="U143" s="28">
        <v>9</v>
      </c>
      <c r="V143" s="28">
        <v>9</v>
      </c>
    </row>
    <row r="144" spans="1:22" ht="25.5" x14ac:dyDescent="0.2">
      <c r="A144" s="28" t="s">
        <v>101</v>
      </c>
      <c r="B144" s="28" t="s">
        <v>132</v>
      </c>
      <c r="C144" s="28"/>
      <c r="D144" s="28"/>
      <c r="E144" s="28"/>
      <c r="F144" s="28"/>
      <c r="G144" s="28"/>
      <c r="H144" s="28"/>
      <c r="I144" s="28"/>
      <c r="J144" s="28"/>
      <c r="K144" s="28"/>
      <c r="L144" s="28"/>
      <c r="M144" s="28"/>
      <c r="N144" s="28"/>
      <c r="O144" s="28"/>
      <c r="P144" s="28">
        <v>9</v>
      </c>
      <c r="Q144" s="28">
        <v>9</v>
      </c>
      <c r="R144" s="28">
        <v>5</v>
      </c>
      <c r="S144" s="28">
        <v>4</v>
      </c>
      <c r="T144" s="28">
        <v>3</v>
      </c>
      <c r="U144" s="28">
        <v>3</v>
      </c>
      <c r="V144" s="28">
        <v>3</v>
      </c>
    </row>
    <row r="145" spans="1:22" ht="25.5" x14ac:dyDescent="0.2">
      <c r="A145" s="28" t="s">
        <v>101</v>
      </c>
      <c r="B145" s="28" t="s">
        <v>133</v>
      </c>
      <c r="C145" s="28"/>
      <c r="D145" s="28"/>
      <c r="E145" s="28"/>
      <c r="F145" s="28"/>
      <c r="G145" s="28"/>
      <c r="H145" s="28"/>
      <c r="I145" s="28"/>
      <c r="J145" s="28"/>
      <c r="K145" s="28"/>
      <c r="L145" s="28"/>
      <c r="M145" s="28"/>
      <c r="N145" s="28"/>
      <c r="O145" s="28"/>
      <c r="P145" s="28">
        <v>6</v>
      </c>
      <c r="Q145" s="28">
        <v>11</v>
      </c>
      <c r="R145" s="28">
        <v>11</v>
      </c>
      <c r="S145" s="28">
        <v>11</v>
      </c>
      <c r="T145" s="28">
        <v>11</v>
      </c>
      <c r="U145" s="28">
        <v>11</v>
      </c>
      <c r="V145" s="28">
        <v>11</v>
      </c>
    </row>
    <row r="146" spans="1:22" ht="25.5" x14ac:dyDescent="0.2">
      <c r="A146" s="28" t="s">
        <v>101</v>
      </c>
      <c r="B146" s="28" t="s">
        <v>134</v>
      </c>
      <c r="C146" s="28"/>
      <c r="D146" s="28"/>
      <c r="E146" s="28"/>
      <c r="F146" s="28"/>
      <c r="G146" s="28"/>
      <c r="H146" s="28"/>
      <c r="I146" s="28"/>
      <c r="J146" s="28"/>
      <c r="K146" s="28"/>
      <c r="L146" s="28"/>
      <c r="M146" s="28"/>
      <c r="N146" s="28"/>
      <c r="O146" s="28"/>
      <c r="P146" s="28">
        <v>1</v>
      </c>
      <c r="Q146" s="28">
        <v>1</v>
      </c>
      <c r="R146" s="28">
        <v>1</v>
      </c>
      <c r="S146" s="28">
        <v>1</v>
      </c>
      <c r="T146" s="28">
        <v>1</v>
      </c>
      <c r="U146" s="28">
        <v>1</v>
      </c>
      <c r="V146" s="28">
        <v>1</v>
      </c>
    </row>
    <row r="147" spans="1:22" ht="38.25" x14ac:dyDescent="0.2">
      <c r="A147" s="28" t="s">
        <v>101</v>
      </c>
      <c r="B147" s="28" t="s">
        <v>135</v>
      </c>
      <c r="C147" s="28"/>
      <c r="D147" s="28"/>
      <c r="E147" s="28"/>
      <c r="F147" s="28"/>
      <c r="G147" s="28"/>
      <c r="H147" s="28"/>
      <c r="I147" s="28"/>
      <c r="J147" s="28"/>
      <c r="K147" s="28"/>
      <c r="L147" s="28"/>
      <c r="M147" s="28"/>
      <c r="N147" s="28"/>
      <c r="O147" s="28"/>
      <c r="P147" s="28">
        <v>1</v>
      </c>
      <c r="Q147" s="28">
        <v>1</v>
      </c>
      <c r="R147" s="28">
        <v>1</v>
      </c>
      <c r="S147" s="28">
        <v>1</v>
      </c>
      <c r="T147" s="28">
        <v>1</v>
      </c>
      <c r="U147" s="28">
        <v>1</v>
      </c>
      <c r="V147" s="28">
        <v>1</v>
      </c>
    </row>
    <row r="148" spans="1:22" ht="25.5" x14ac:dyDescent="0.2">
      <c r="A148" s="28" t="s">
        <v>68</v>
      </c>
      <c r="B148" s="28" t="s">
        <v>136</v>
      </c>
      <c r="C148" s="28"/>
      <c r="D148" s="28"/>
      <c r="E148" s="28"/>
      <c r="F148" s="28"/>
      <c r="G148" s="28"/>
      <c r="H148" s="28"/>
      <c r="I148" s="28"/>
      <c r="J148" s="28"/>
      <c r="K148" s="28"/>
      <c r="L148" s="28"/>
      <c r="M148" s="28"/>
      <c r="N148" s="28"/>
      <c r="O148" s="28"/>
      <c r="P148" s="28">
        <f t="shared" ref="P148:V148" si="27">SUM(P149:P159)</f>
        <v>1468</v>
      </c>
      <c r="Q148" s="28">
        <f t="shared" si="27"/>
        <v>1486</v>
      </c>
      <c r="R148" s="28">
        <f t="shared" si="27"/>
        <v>1542</v>
      </c>
      <c r="S148" s="28">
        <f t="shared" si="27"/>
        <v>1542</v>
      </c>
      <c r="T148" s="28">
        <f t="shared" si="27"/>
        <v>1582</v>
      </c>
      <c r="U148" s="28">
        <f t="shared" si="27"/>
        <v>1617</v>
      </c>
      <c r="V148" s="28">
        <f t="shared" si="27"/>
        <v>1616</v>
      </c>
    </row>
    <row r="149" spans="1:22" ht="12.75" x14ac:dyDescent="0.2">
      <c r="A149" s="28" t="s">
        <v>68</v>
      </c>
      <c r="B149" s="28" t="s">
        <v>137</v>
      </c>
      <c r="C149" s="28"/>
      <c r="D149" s="28"/>
      <c r="E149" s="28"/>
      <c r="F149" s="28"/>
      <c r="G149" s="28"/>
      <c r="H149" s="28"/>
      <c r="I149" s="28"/>
      <c r="J149" s="28"/>
      <c r="K149" s="28"/>
      <c r="L149" s="28"/>
      <c r="M149" s="28"/>
      <c r="N149" s="28"/>
      <c r="O149" s="28"/>
      <c r="P149" s="28">
        <v>966</v>
      </c>
      <c r="Q149" s="28">
        <v>958</v>
      </c>
      <c r="R149" s="28">
        <v>948</v>
      </c>
      <c r="S149" s="28">
        <v>947</v>
      </c>
      <c r="T149" s="28">
        <v>943</v>
      </c>
      <c r="U149" s="28">
        <v>943</v>
      </c>
      <c r="V149" s="28">
        <v>943</v>
      </c>
    </row>
    <row r="150" spans="1:22" ht="12.75" x14ac:dyDescent="0.2">
      <c r="A150" s="28" t="s">
        <v>68</v>
      </c>
      <c r="B150" s="28" t="s">
        <v>138</v>
      </c>
      <c r="C150" s="28"/>
      <c r="D150" s="28"/>
      <c r="E150" s="28"/>
      <c r="F150" s="28"/>
      <c r="G150" s="28"/>
      <c r="H150" s="28"/>
      <c r="I150" s="28"/>
      <c r="J150" s="28"/>
      <c r="K150" s="28"/>
      <c r="L150" s="28"/>
      <c r="M150" s="28"/>
      <c r="N150" s="28"/>
      <c r="O150" s="28"/>
      <c r="P150" s="28">
        <v>228</v>
      </c>
      <c r="Q150" s="28">
        <v>228</v>
      </c>
      <c r="R150" s="28">
        <v>243</v>
      </c>
      <c r="S150" s="28">
        <v>243</v>
      </c>
      <c r="T150" s="28">
        <v>247</v>
      </c>
      <c r="U150" s="28">
        <v>275</v>
      </c>
      <c r="V150" s="28">
        <v>275</v>
      </c>
    </row>
    <row r="151" spans="1:22" ht="25.5" x14ac:dyDescent="0.2">
      <c r="A151" s="28" t="s">
        <v>68</v>
      </c>
      <c r="B151" s="28" t="s">
        <v>139</v>
      </c>
      <c r="C151" s="28"/>
      <c r="D151" s="28"/>
      <c r="E151" s="28"/>
      <c r="F151" s="28"/>
      <c r="G151" s="28"/>
      <c r="H151" s="28"/>
      <c r="I151" s="28"/>
      <c r="J151" s="28"/>
      <c r="K151" s="28"/>
      <c r="L151" s="28"/>
      <c r="M151" s="28"/>
      <c r="N151" s="28"/>
      <c r="O151" s="28"/>
      <c r="P151" s="28">
        <v>70</v>
      </c>
      <c r="Q151" s="28">
        <v>70</v>
      </c>
      <c r="R151" s="28">
        <v>70</v>
      </c>
      <c r="S151" s="28">
        <v>70</v>
      </c>
      <c r="T151" s="28">
        <v>70</v>
      </c>
      <c r="U151" s="28">
        <v>70</v>
      </c>
      <c r="V151" s="28">
        <v>70</v>
      </c>
    </row>
    <row r="152" spans="1:22" ht="25.5" x14ac:dyDescent="0.2">
      <c r="A152" s="28" t="s">
        <v>68</v>
      </c>
      <c r="B152" s="28" t="s">
        <v>140</v>
      </c>
      <c r="C152" s="28"/>
      <c r="D152" s="28"/>
      <c r="E152" s="28"/>
      <c r="F152" s="28"/>
      <c r="G152" s="28"/>
      <c r="H152" s="28"/>
      <c r="I152" s="28"/>
      <c r="J152" s="28"/>
      <c r="K152" s="28"/>
      <c r="L152" s="28"/>
      <c r="M152" s="28"/>
      <c r="N152" s="28"/>
      <c r="O152" s="28"/>
      <c r="P152" s="28">
        <v>29</v>
      </c>
      <c r="Q152" s="28">
        <v>39</v>
      </c>
      <c r="R152" s="28">
        <v>44</v>
      </c>
      <c r="S152" s="28">
        <v>44</v>
      </c>
      <c r="T152" s="28">
        <v>45</v>
      </c>
      <c r="U152" s="28">
        <v>47</v>
      </c>
      <c r="V152" s="28">
        <v>47</v>
      </c>
    </row>
    <row r="153" spans="1:22" ht="25.5" x14ac:dyDescent="0.2">
      <c r="A153" s="28" t="s">
        <v>68</v>
      </c>
      <c r="B153" s="28" t="s">
        <v>141</v>
      </c>
      <c r="C153" s="28"/>
      <c r="D153" s="28"/>
      <c r="E153" s="28"/>
      <c r="F153" s="28"/>
      <c r="G153" s="28"/>
      <c r="H153" s="28"/>
      <c r="I153" s="28"/>
      <c r="J153" s="28"/>
      <c r="K153" s="28"/>
      <c r="L153" s="28"/>
      <c r="M153" s="28"/>
      <c r="N153" s="28"/>
      <c r="O153" s="28"/>
      <c r="P153" s="28">
        <v>7</v>
      </c>
      <c r="Q153" s="28">
        <v>7</v>
      </c>
      <c r="R153" s="28">
        <v>7</v>
      </c>
      <c r="S153" s="28">
        <v>9</v>
      </c>
      <c r="T153" s="28">
        <v>7</v>
      </c>
      <c r="U153" s="28">
        <v>7</v>
      </c>
      <c r="V153" s="28">
        <v>7</v>
      </c>
    </row>
    <row r="154" spans="1:22" ht="25.5" x14ac:dyDescent="0.2">
      <c r="A154" s="28" t="s">
        <v>68</v>
      </c>
      <c r="B154" s="28" t="s">
        <v>142</v>
      </c>
      <c r="C154" s="28"/>
      <c r="D154" s="28"/>
      <c r="E154" s="28"/>
      <c r="F154" s="28"/>
      <c r="G154" s="28"/>
      <c r="H154" s="28"/>
      <c r="I154" s="28"/>
      <c r="J154" s="28"/>
      <c r="K154" s="28"/>
      <c r="L154" s="28"/>
      <c r="M154" s="28"/>
      <c r="N154" s="28"/>
      <c r="O154" s="28"/>
      <c r="P154" s="28">
        <v>39</v>
      </c>
      <c r="Q154" s="28">
        <v>38</v>
      </c>
      <c r="R154" s="28">
        <v>40</v>
      </c>
      <c r="S154" s="28">
        <v>40</v>
      </c>
      <c r="T154" s="28">
        <v>42</v>
      </c>
      <c r="U154" s="28">
        <v>43</v>
      </c>
      <c r="V154" s="28">
        <v>43</v>
      </c>
    </row>
    <row r="155" spans="1:22" ht="38.25" x14ac:dyDescent="0.2">
      <c r="A155" s="28" t="s">
        <v>68</v>
      </c>
      <c r="B155" s="28" t="s">
        <v>143</v>
      </c>
      <c r="C155" s="28"/>
      <c r="D155" s="28"/>
      <c r="E155" s="28"/>
      <c r="F155" s="28"/>
      <c r="G155" s="28"/>
      <c r="H155" s="28"/>
      <c r="I155" s="28"/>
      <c r="J155" s="28"/>
      <c r="K155" s="28"/>
      <c r="L155" s="28"/>
      <c r="M155" s="28"/>
      <c r="N155" s="28"/>
      <c r="O155" s="28"/>
      <c r="P155" s="28">
        <v>1</v>
      </c>
      <c r="Q155" s="28">
        <v>1</v>
      </c>
      <c r="R155" s="28">
        <v>1</v>
      </c>
      <c r="S155" s="28">
        <v>1</v>
      </c>
      <c r="T155" s="28">
        <v>1</v>
      </c>
      <c r="U155" s="28">
        <v>1</v>
      </c>
      <c r="V155" s="28">
        <v>0</v>
      </c>
    </row>
    <row r="156" spans="1:22" ht="25.5" x14ac:dyDescent="0.2">
      <c r="A156" s="28" t="s">
        <v>68</v>
      </c>
      <c r="B156" s="28" t="s">
        <v>144</v>
      </c>
      <c r="C156" s="28"/>
      <c r="D156" s="28"/>
      <c r="E156" s="28"/>
      <c r="F156" s="28"/>
      <c r="G156" s="28"/>
      <c r="H156" s="28"/>
      <c r="I156" s="28"/>
      <c r="J156" s="28"/>
      <c r="K156" s="28"/>
      <c r="L156" s="28"/>
      <c r="M156" s="28"/>
      <c r="N156" s="28"/>
      <c r="O156" s="28"/>
      <c r="P156" s="28">
        <v>1</v>
      </c>
      <c r="Q156" s="28">
        <v>0</v>
      </c>
      <c r="R156" s="28">
        <v>0</v>
      </c>
      <c r="S156" s="28">
        <v>0</v>
      </c>
      <c r="T156" s="28">
        <v>0</v>
      </c>
      <c r="U156" s="28">
        <v>0</v>
      </c>
      <c r="V156" s="28">
        <v>0</v>
      </c>
    </row>
    <row r="157" spans="1:22" ht="25.5" x14ac:dyDescent="0.2">
      <c r="A157" s="28" t="s">
        <v>68</v>
      </c>
      <c r="B157" s="28" t="s">
        <v>145</v>
      </c>
      <c r="C157" s="28"/>
      <c r="D157" s="28"/>
      <c r="E157" s="28"/>
      <c r="F157" s="28"/>
      <c r="G157" s="28"/>
      <c r="H157" s="28"/>
      <c r="I157" s="28"/>
      <c r="J157" s="28"/>
      <c r="K157" s="28"/>
      <c r="L157" s="28"/>
      <c r="M157" s="28"/>
      <c r="N157" s="28"/>
      <c r="O157" s="28"/>
      <c r="P157" s="28">
        <v>11</v>
      </c>
      <c r="Q157" s="28">
        <v>11</v>
      </c>
      <c r="R157" s="28">
        <v>11</v>
      </c>
      <c r="S157" s="28">
        <v>11</v>
      </c>
      <c r="T157" s="28">
        <v>11</v>
      </c>
      <c r="U157" s="28">
        <v>11</v>
      </c>
      <c r="V157" s="28">
        <v>11</v>
      </c>
    </row>
    <row r="158" spans="1:22" ht="25.5" x14ac:dyDescent="0.2">
      <c r="A158" s="28" t="s">
        <v>68</v>
      </c>
      <c r="B158" s="28" t="s">
        <v>146</v>
      </c>
      <c r="C158" s="28"/>
      <c r="D158" s="28"/>
      <c r="E158" s="28"/>
      <c r="F158" s="28"/>
      <c r="G158" s="28"/>
      <c r="H158" s="28"/>
      <c r="I158" s="28"/>
      <c r="J158" s="28"/>
      <c r="K158" s="28"/>
      <c r="L158" s="28"/>
      <c r="M158" s="28"/>
      <c r="N158" s="28"/>
      <c r="O158" s="28"/>
      <c r="P158" s="28">
        <v>116</v>
      </c>
      <c r="Q158" s="28">
        <v>134</v>
      </c>
      <c r="R158" s="28">
        <v>177</v>
      </c>
      <c r="S158" s="28">
        <v>176</v>
      </c>
      <c r="T158" s="28">
        <v>215</v>
      </c>
      <c r="U158" s="28">
        <v>219</v>
      </c>
      <c r="V158" s="28">
        <v>219</v>
      </c>
    </row>
    <row r="159" spans="1:22" ht="38.25" x14ac:dyDescent="0.2">
      <c r="A159" s="28" t="s">
        <v>68</v>
      </c>
      <c r="B159" s="28" t="s">
        <v>147</v>
      </c>
      <c r="C159" s="28"/>
      <c r="D159" s="28"/>
      <c r="E159" s="28"/>
      <c r="F159" s="28"/>
      <c r="G159" s="28"/>
      <c r="H159" s="28"/>
      <c r="I159" s="28"/>
      <c r="J159" s="28"/>
      <c r="K159" s="28"/>
      <c r="L159" s="28"/>
      <c r="M159" s="28"/>
      <c r="N159" s="28"/>
      <c r="O159" s="28"/>
      <c r="P159" s="28">
        <v>0</v>
      </c>
      <c r="Q159" s="28">
        <v>0</v>
      </c>
      <c r="R159" s="28">
        <v>1</v>
      </c>
      <c r="S159" s="28">
        <v>1</v>
      </c>
      <c r="T159" s="28">
        <v>1</v>
      </c>
      <c r="U159" s="28">
        <v>1</v>
      </c>
      <c r="V159" s="28">
        <v>1</v>
      </c>
    </row>
    <row r="160" spans="1:22" ht="12.75" x14ac:dyDescent="0.2">
      <c r="A160" s="28" t="s">
        <v>101</v>
      </c>
      <c r="B160" s="28" t="s">
        <v>148</v>
      </c>
      <c r="C160" s="28">
        <v>11900</v>
      </c>
      <c r="D160" s="28">
        <v>12883</v>
      </c>
      <c r="E160" s="28">
        <v>13824</v>
      </c>
      <c r="F160" s="28">
        <v>14230</v>
      </c>
      <c r="G160" s="28">
        <v>15352</v>
      </c>
      <c r="H160" s="28">
        <v>15852</v>
      </c>
      <c r="I160" s="28">
        <v>16337</v>
      </c>
      <c r="J160" s="28">
        <v>16913</v>
      </c>
      <c r="K160" s="28">
        <v>17930</v>
      </c>
      <c r="L160" s="28">
        <v>18229</v>
      </c>
      <c r="M160" s="28">
        <v>19123</v>
      </c>
      <c r="N160" s="28">
        <v>20014</v>
      </c>
      <c r="O160" s="28">
        <v>21051</v>
      </c>
      <c r="P160" s="28">
        <v>22097</v>
      </c>
      <c r="Q160" s="28">
        <v>23413</v>
      </c>
      <c r="R160" s="28">
        <v>23315</v>
      </c>
      <c r="S160" s="28">
        <v>24489</v>
      </c>
      <c r="T160" s="28">
        <v>26108</v>
      </c>
      <c r="U160" s="28">
        <v>26224</v>
      </c>
      <c r="V160" s="28" t="s">
        <v>149</v>
      </c>
    </row>
    <row r="161" spans="1:22" ht="38.25" x14ac:dyDescent="0.2">
      <c r="A161" s="28" t="s">
        <v>101</v>
      </c>
      <c r="B161" s="28" t="s">
        <v>150</v>
      </c>
      <c r="C161" s="28">
        <v>25</v>
      </c>
      <c r="D161" s="28">
        <v>23</v>
      </c>
      <c r="E161" s="28">
        <v>23</v>
      </c>
      <c r="F161" s="28">
        <v>22</v>
      </c>
      <c r="G161" s="28">
        <v>22</v>
      </c>
      <c r="H161" s="28">
        <v>22</v>
      </c>
      <c r="I161" s="28">
        <v>22</v>
      </c>
      <c r="J161" s="28">
        <v>23</v>
      </c>
      <c r="K161" s="28">
        <v>25</v>
      </c>
      <c r="L161" s="28">
        <v>24</v>
      </c>
      <c r="M161" s="28">
        <v>29</v>
      </c>
      <c r="N161" s="28">
        <v>29</v>
      </c>
      <c r="O161" s="28">
        <v>33</v>
      </c>
      <c r="P161" s="28">
        <v>39</v>
      </c>
      <c r="Q161" s="28">
        <v>39</v>
      </c>
      <c r="R161" s="28">
        <v>39</v>
      </c>
      <c r="S161" s="28">
        <v>39</v>
      </c>
      <c r="T161" s="28">
        <v>39</v>
      </c>
      <c r="U161" s="28">
        <v>39</v>
      </c>
      <c r="V161" s="28">
        <v>39</v>
      </c>
    </row>
    <row r="162" spans="1:22" ht="12.75" x14ac:dyDescent="0.2">
      <c r="A162" s="28" t="s">
        <v>101</v>
      </c>
      <c r="B162" s="28" t="s">
        <v>151</v>
      </c>
      <c r="C162" s="28">
        <v>48</v>
      </c>
      <c r="D162" s="28">
        <v>48</v>
      </c>
      <c r="E162" s="28">
        <v>48</v>
      </c>
      <c r="F162" s="28">
        <v>48</v>
      </c>
      <c r="G162" s="28">
        <v>48</v>
      </c>
      <c r="H162" s="28">
        <v>49</v>
      </c>
      <c r="I162" s="28">
        <v>49</v>
      </c>
      <c r="J162" s="28">
        <v>49</v>
      </c>
      <c r="K162" s="28">
        <v>50</v>
      </c>
      <c r="L162" s="28">
        <v>51</v>
      </c>
      <c r="M162" s="28">
        <v>57</v>
      </c>
      <c r="N162" s="28">
        <v>57</v>
      </c>
      <c r="O162" s="28">
        <v>64</v>
      </c>
      <c r="P162" s="28">
        <v>65</v>
      </c>
      <c r="Q162" s="28">
        <v>65</v>
      </c>
      <c r="R162" s="28">
        <v>65</v>
      </c>
      <c r="S162" s="28">
        <v>67</v>
      </c>
      <c r="T162" s="28">
        <v>78</v>
      </c>
      <c r="U162" s="28">
        <v>79</v>
      </c>
      <c r="V162" s="28">
        <v>80</v>
      </c>
    </row>
    <row r="163" spans="1:22" ht="25.5" x14ac:dyDescent="0.2">
      <c r="A163" s="28" t="s">
        <v>101</v>
      </c>
      <c r="B163" s="28" t="s">
        <v>152</v>
      </c>
      <c r="C163" s="28">
        <v>39</v>
      </c>
      <c r="D163" s="28">
        <v>39</v>
      </c>
      <c r="E163" s="28">
        <v>39</v>
      </c>
      <c r="F163" s="28">
        <v>39</v>
      </c>
      <c r="G163" s="28">
        <v>39</v>
      </c>
      <c r="H163" s="28">
        <v>39</v>
      </c>
      <c r="I163" s="28">
        <v>39</v>
      </c>
      <c r="J163" s="28">
        <v>39</v>
      </c>
      <c r="K163" s="28">
        <v>39</v>
      </c>
      <c r="L163" s="28">
        <v>39</v>
      </c>
      <c r="M163" s="28">
        <v>39</v>
      </c>
      <c r="N163" s="28">
        <v>39</v>
      </c>
      <c r="O163" s="28">
        <v>42</v>
      </c>
      <c r="P163" s="28">
        <v>42</v>
      </c>
      <c r="Q163" s="28">
        <v>43</v>
      </c>
      <c r="R163" s="28">
        <v>44</v>
      </c>
      <c r="S163" s="28">
        <v>44</v>
      </c>
      <c r="T163" s="28">
        <v>45</v>
      </c>
      <c r="U163" s="28">
        <v>45</v>
      </c>
      <c r="V163" s="28">
        <v>45</v>
      </c>
    </row>
    <row r="164" spans="1:22" ht="25.5" x14ac:dyDescent="0.2">
      <c r="A164" s="28" t="s">
        <v>101</v>
      </c>
      <c r="B164" s="28" t="s">
        <v>153</v>
      </c>
      <c r="C164" s="28">
        <v>22</v>
      </c>
      <c r="D164" s="28">
        <v>22</v>
      </c>
      <c r="E164" s="28">
        <v>22</v>
      </c>
      <c r="F164" s="28">
        <v>22</v>
      </c>
      <c r="G164" s="28">
        <v>22</v>
      </c>
      <c r="H164" s="28">
        <v>28</v>
      </c>
      <c r="I164" s="28">
        <v>28</v>
      </c>
      <c r="J164" s="28">
        <v>30</v>
      </c>
      <c r="K164" s="28">
        <v>31</v>
      </c>
      <c r="L164" s="28">
        <v>33</v>
      </c>
      <c r="M164" s="28">
        <v>35</v>
      </c>
      <c r="N164" s="28">
        <v>35</v>
      </c>
      <c r="O164" s="28">
        <v>35</v>
      </c>
      <c r="P164" s="28">
        <v>35</v>
      </c>
      <c r="Q164" s="28">
        <v>35</v>
      </c>
      <c r="R164" s="28">
        <v>35</v>
      </c>
      <c r="S164" s="28">
        <v>37</v>
      </c>
      <c r="T164" s="28">
        <v>35</v>
      </c>
      <c r="U164" s="28">
        <v>34</v>
      </c>
      <c r="V164" s="28">
        <v>34</v>
      </c>
    </row>
    <row r="165" spans="1:22" ht="51" x14ac:dyDescent="0.2">
      <c r="A165" s="28" t="s">
        <v>101</v>
      </c>
      <c r="B165" s="28" t="s">
        <v>154</v>
      </c>
      <c r="C165" s="28">
        <f>351091-349837</f>
        <v>1254</v>
      </c>
      <c r="D165" s="28"/>
      <c r="E165" s="28"/>
      <c r="F165" s="28"/>
      <c r="G165" s="28"/>
      <c r="H165" s="28"/>
      <c r="I165" s="28"/>
      <c r="J165" s="28"/>
      <c r="K165" s="28"/>
      <c r="L165" s="28"/>
      <c r="M165" s="28"/>
      <c r="N165" s="28">
        <v>15</v>
      </c>
      <c r="O165" s="28">
        <v>17</v>
      </c>
      <c r="P165" s="28">
        <v>17</v>
      </c>
      <c r="Q165" s="28">
        <v>17</v>
      </c>
      <c r="R165" s="28">
        <v>18</v>
      </c>
      <c r="S165" s="28">
        <v>18</v>
      </c>
      <c r="T165" s="28">
        <v>20</v>
      </c>
      <c r="U165" s="28">
        <v>20</v>
      </c>
      <c r="V165" s="28">
        <v>20</v>
      </c>
    </row>
    <row r="166" spans="1:22" ht="63.75" x14ac:dyDescent="0.2">
      <c r="A166" s="28" t="s">
        <v>155</v>
      </c>
      <c r="B166" s="28" t="s">
        <v>156</v>
      </c>
      <c r="C166" s="28">
        <f t="shared" ref="C166:V166" si="28">C169+C181+C185+C188+C190+C210+C211+C212+C213+C214+C202</f>
        <v>481782</v>
      </c>
      <c r="D166" s="28">
        <f t="shared" si="28"/>
        <v>498264</v>
      </c>
      <c r="E166" s="28">
        <f t="shared" si="28"/>
        <v>535450</v>
      </c>
      <c r="F166" s="28">
        <f t="shared" si="28"/>
        <v>571326</v>
      </c>
      <c r="G166" s="28">
        <f t="shared" si="28"/>
        <v>593325</v>
      </c>
      <c r="H166" s="28">
        <f t="shared" si="28"/>
        <v>574755</v>
      </c>
      <c r="I166" s="28">
        <f t="shared" si="28"/>
        <v>561602</v>
      </c>
      <c r="J166" s="28">
        <f t="shared" si="28"/>
        <v>555706</v>
      </c>
      <c r="K166" s="28">
        <f t="shared" si="28"/>
        <v>580090</v>
      </c>
      <c r="L166" s="28">
        <f t="shared" si="28"/>
        <v>617724</v>
      </c>
      <c r="M166" s="28">
        <f t="shared" si="28"/>
        <v>718628</v>
      </c>
      <c r="N166" s="28">
        <f t="shared" si="28"/>
        <v>956084</v>
      </c>
      <c r="O166" s="28">
        <f t="shared" si="28"/>
        <v>918331</v>
      </c>
      <c r="P166" s="28">
        <f t="shared" si="28"/>
        <v>969401</v>
      </c>
      <c r="Q166" s="28">
        <f t="shared" si="28"/>
        <v>1042729</v>
      </c>
      <c r="R166" s="28">
        <f t="shared" si="28"/>
        <v>1077162</v>
      </c>
      <c r="S166" s="28">
        <f t="shared" si="28"/>
        <v>1126891</v>
      </c>
      <c r="T166" s="28">
        <f t="shared" si="28"/>
        <v>1127169</v>
      </c>
      <c r="U166" s="28">
        <f t="shared" si="28"/>
        <v>1238159</v>
      </c>
      <c r="V166" s="28">
        <f t="shared" si="28"/>
        <v>1404764</v>
      </c>
    </row>
    <row r="167" spans="1:22" ht="51" x14ac:dyDescent="0.2">
      <c r="A167" s="28" t="s">
        <v>155</v>
      </c>
      <c r="B167" s="28" t="s">
        <v>157</v>
      </c>
      <c r="C167" s="28">
        <f>C169+C182+C183+C186+C189</f>
        <v>342345</v>
      </c>
      <c r="D167" s="28">
        <f t="shared" ref="D167:V167" si="29">D169+D182+D183+D186+D189</f>
        <v>355690</v>
      </c>
      <c r="E167" s="28">
        <f t="shared" si="29"/>
        <v>385111</v>
      </c>
      <c r="F167" s="28">
        <f t="shared" si="29"/>
        <v>410184</v>
      </c>
      <c r="G167" s="28">
        <f t="shared" si="29"/>
        <v>410444</v>
      </c>
      <c r="H167" s="28">
        <f t="shared" si="29"/>
        <v>410046</v>
      </c>
      <c r="I167" s="28">
        <f t="shared" si="29"/>
        <v>409129</v>
      </c>
      <c r="J167" s="28">
        <f t="shared" si="29"/>
        <v>411976</v>
      </c>
      <c r="K167" s="28">
        <f t="shared" si="29"/>
        <v>444627</v>
      </c>
      <c r="L167" s="28">
        <f t="shared" si="29"/>
        <v>459961</v>
      </c>
      <c r="M167" s="28">
        <f t="shared" si="29"/>
        <v>536068</v>
      </c>
      <c r="N167" s="28">
        <f t="shared" si="29"/>
        <v>759917</v>
      </c>
      <c r="O167" s="28">
        <f t="shared" si="29"/>
        <v>712335</v>
      </c>
      <c r="P167" s="28">
        <f t="shared" si="29"/>
        <v>769057</v>
      </c>
      <c r="Q167" s="28">
        <f t="shared" si="29"/>
        <v>841995</v>
      </c>
      <c r="R167" s="28">
        <f t="shared" si="29"/>
        <v>876894</v>
      </c>
      <c r="S167" s="28">
        <f t="shared" si="29"/>
        <v>936086</v>
      </c>
      <c r="T167" s="28">
        <f t="shared" si="29"/>
        <v>935992</v>
      </c>
      <c r="U167" s="28">
        <f t="shared" si="29"/>
        <v>1033340</v>
      </c>
      <c r="V167" s="28">
        <f t="shared" si="29"/>
        <v>1183273</v>
      </c>
    </row>
    <row r="168" spans="1:22" ht="63.75" x14ac:dyDescent="0.2">
      <c r="A168" s="28" t="s">
        <v>155</v>
      </c>
      <c r="B168" s="28" t="s">
        <v>158</v>
      </c>
      <c r="C168" s="28">
        <f>C169+C181+C185+C188</f>
        <v>406331</v>
      </c>
      <c r="D168" s="28">
        <f t="shared" ref="D168:V168" si="30">D169+D181+D185+D188</f>
        <v>421706</v>
      </c>
      <c r="E168" s="28">
        <f t="shared" si="30"/>
        <v>454123</v>
      </c>
      <c r="F168" s="28">
        <f t="shared" si="30"/>
        <v>483866</v>
      </c>
      <c r="G168" s="28">
        <f t="shared" si="30"/>
        <v>495763</v>
      </c>
      <c r="H168" s="28">
        <f t="shared" si="30"/>
        <v>480170</v>
      </c>
      <c r="I168" s="28">
        <f t="shared" si="30"/>
        <v>464018</v>
      </c>
      <c r="J168" s="28">
        <f t="shared" si="30"/>
        <v>458903</v>
      </c>
      <c r="K168" s="28">
        <f t="shared" si="30"/>
        <v>498236</v>
      </c>
      <c r="L168" s="28">
        <f t="shared" si="30"/>
        <v>528504</v>
      </c>
      <c r="M168" s="28">
        <f t="shared" si="30"/>
        <v>624105</v>
      </c>
      <c r="N168" s="28">
        <f t="shared" si="30"/>
        <v>850804</v>
      </c>
      <c r="O168" s="28">
        <f t="shared" si="30"/>
        <v>793541</v>
      </c>
      <c r="P168" s="28">
        <f t="shared" si="30"/>
        <v>835492</v>
      </c>
      <c r="Q168" s="28">
        <f t="shared" si="30"/>
        <v>905211</v>
      </c>
      <c r="R168" s="28">
        <f t="shared" si="30"/>
        <v>930730</v>
      </c>
      <c r="S168" s="28">
        <f t="shared" si="30"/>
        <v>982921</v>
      </c>
      <c r="T168" s="28">
        <f t="shared" si="30"/>
        <v>984871</v>
      </c>
      <c r="U168" s="28">
        <f t="shared" si="30"/>
        <v>1090205</v>
      </c>
      <c r="V168" s="28">
        <f t="shared" si="30"/>
        <v>1252182</v>
      </c>
    </row>
    <row r="169" spans="1:22" ht="51" x14ac:dyDescent="0.2">
      <c r="A169" s="28" t="s">
        <v>155</v>
      </c>
      <c r="B169" s="28" t="s">
        <v>159</v>
      </c>
      <c r="C169" s="28">
        <f t="shared" ref="C169:V169" si="31">SUM(C170:C180)</f>
        <v>319396</v>
      </c>
      <c r="D169" s="28">
        <f t="shared" si="31"/>
        <v>327097</v>
      </c>
      <c r="E169" s="28">
        <f t="shared" si="31"/>
        <v>350598</v>
      </c>
      <c r="F169" s="28">
        <f t="shared" si="31"/>
        <v>370958</v>
      </c>
      <c r="G169" s="28">
        <f t="shared" si="31"/>
        <v>371328</v>
      </c>
      <c r="H169" s="28">
        <f t="shared" si="31"/>
        <v>366148</v>
      </c>
      <c r="I169" s="28">
        <f t="shared" si="31"/>
        <v>362699</v>
      </c>
      <c r="J169" s="28">
        <f t="shared" si="31"/>
        <v>367266</v>
      </c>
      <c r="K169" s="28">
        <f t="shared" si="31"/>
        <v>401731</v>
      </c>
      <c r="L169" s="28">
        <f t="shared" si="31"/>
        <v>411995</v>
      </c>
      <c r="M169" s="28">
        <f t="shared" si="31"/>
        <v>481603</v>
      </c>
      <c r="N169" s="28">
        <f t="shared" si="31"/>
        <v>696092</v>
      </c>
      <c r="O169" s="28">
        <f t="shared" si="31"/>
        <v>635812</v>
      </c>
      <c r="P169" s="28">
        <f t="shared" si="31"/>
        <v>691487</v>
      </c>
      <c r="Q169" s="28">
        <f t="shared" si="31"/>
        <v>765364</v>
      </c>
      <c r="R169" s="28">
        <f t="shared" si="31"/>
        <v>801675</v>
      </c>
      <c r="S169" s="28">
        <f t="shared" si="31"/>
        <v>861109</v>
      </c>
      <c r="T169" s="28">
        <f t="shared" si="31"/>
        <v>868239</v>
      </c>
      <c r="U169" s="28">
        <f t="shared" si="31"/>
        <v>965070</v>
      </c>
      <c r="V169" s="28">
        <f t="shared" si="31"/>
        <v>1114207</v>
      </c>
    </row>
    <row r="170" spans="1:22" ht="38.25" x14ac:dyDescent="0.2">
      <c r="A170" s="28" t="s">
        <v>155</v>
      </c>
      <c r="B170" s="28" t="s">
        <v>160</v>
      </c>
      <c r="C170" s="28">
        <v>83296</v>
      </c>
      <c r="D170" s="28">
        <v>88581</v>
      </c>
      <c r="E170" s="28">
        <v>86159</v>
      </c>
      <c r="F170" s="28">
        <v>94084</v>
      </c>
      <c r="G170" s="28">
        <v>97816</v>
      </c>
      <c r="H170" s="28">
        <v>96497</v>
      </c>
      <c r="I170" s="28">
        <v>95348</v>
      </c>
      <c r="J170" s="28">
        <v>104114</v>
      </c>
      <c r="K170" s="28">
        <v>119949</v>
      </c>
      <c r="L170" s="28">
        <f>155452-8901</f>
        <v>146551</v>
      </c>
      <c r="M170" s="28">
        <v>228019</v>
      </c>
      <c r="N170" s="28">
        <v>294854</v>
      </c>
      <c r="O170" s="28">
        <v>130158</v>
      </c>
      <c r="P170" s="28">
        <f>87454+5980</f>
        <v>93434</v>
      </c>
      <c r="Q170" s="28">
        <v>79450</v>
      </c>
      <c r="R170" s="28">
        <v>76098</v>
      </c>
      <c r="S170" s="28">
        <v>71809</v>
      </c>
      <c r="T170" s="28">
        <v>57431</v>
      </c>
      <c r="U170" s="28">
        <f>59524</f>
        <v>59524</v>
      </c>
      <c r="V170" s="28">
        <f t="shared" ref="V170:V180" si="32">U414</f>
        <v>61119</v>
      </c>
    </row>
    <row r="171" spans="1:22" ht="38.25" x14ac:dyDescent="0.2">
      <c r="A171" s="28" t="s">
        <v>155</v>
      </c>
      <c r="B171" s="28" t="s">
        <v>161</v>
      </c>
      <c r="C171" s="28">
        <v>0</v>
      </c>
      <c r="D171" s="28">
        <v>0</v>
      </c>
      <c r="E171" s="28">
        <v>0</v>
      </c>
      <c r="F171" s="28">
        <v>0</v>
      </c>
      <c r="G171" s="28">
        <v>0</v>
      </c>
      <c r="H171" s="28">
        <v>0</v>
      </c>
      <c r="I171" s="28">
        <v>0</v>
      </c>
      <c r="J171" s="28">
        <v>0</v>
      </c>
      <c r="K171" s="28">
        <v>0</v>
      </c>
      <c r="L171" s="28">
        <v>0</v>
      </c>
      <c r="M171" s="28">
        <v>0</v>
      </c>
      <c r="N171" s="28">
        <v>142760</v>
      </c>
      <c r="O171" s="28">
        <v>222397</v>
      </c>
      <c r="P171" s="28">
        <f>293260-17848</f>
        <v>275412</v>
      </c>
      <c r="Q171" s="28">
        <v>348733</v>
      </c>
      <c r="R171" s="28">
        <v>368160</v>
      </c>
      <c r="S171" s="28">
        <v>424203</v>
      </c>
      <c r="T171" s="28">
        <f>453597-428</f>
        <v>453169</v>
      </c>
      <c r="U171" s="28">
        <v>536846</v>
      </c>
      <c r="V171" s="28">
        <v>667887</v>
      </c>
    </row>
    <row r="172" spans="1:22" ht="38.25" x14ac:dyDescent="0.2">
      <c r="A172" s="28" t="s">
        <v>155</v>
      </c>
      <c r="B172" s="28" t="s">
        <v>162</v>
      </c>
      <c r="C172" s="28">
        <v>0</v>
      </c>
      <c r="D172" s="28">
        <v>4959</v>
      </c>
      <c r="E172" s="28">
        <v>5099</v>
      </c>
      <c r="F172" s="28">
        <v>4939</v>
      </c>
      <c r="G172" s="28">
        <v>5164</v>
      </c>
      <c r="H172" s="28">
        <v>5526</v>
      </c>
      <c r="I172" s="28">
        <v>5330</v>
      </c>
      <c r="J172" s="28">
        <v>5996</v>
      </c>
      <c r="K172" s="28">
        <v>6741</v>
      </c>
      <c r="L172" s="28">
        <v>8292</v>
      </c>
      <c r="M172" s="28">
        <v>8288</v>
      </c>
      <c r="N172" s="28">
        <v>8790</v>
      </c>
      <c r="O172" s="28">
        <v>7732</v>
      </c>
      <c r="P172" s="28">
        <v>7463</v>
      </c>
      <c r="Q172" s="28">
        <v>7588</v>
      </c>
      <c r="R172" s="28">
        <v>7066</v>
      </c>
      <c r="S172" s="28">
        <v>6938</v>
      </c>
      <c r="T172" s="28">
        <v>6746</v>
      </c>
      <c r="U172" s="28">
        <v>7044</v>
      </c>
      <c r="V172" s="28">
        <f t="shared" si="32"/>
        <v>7037</v>
      </c>
    </row>
    <row r="173" spans="1:22" ht="38.25" x14ac:dyDescent="0.2">
      <c r="A173" s="28" t="s">
        <v>155</v>
      </c>
      <c r="B173" s="28" t="s">
        <v>163</v>
      </c>
      <c r="C173" s="28">
        <v>14197</v>
      </c>
      <c r="D173" s="28">
        <v>15280</v>
      </c>
      <c r="E173" s="28">
        <v>17926</v>
      </c>
      <c r="F173" s="28">
        <v>18085</v>
      </c>
      <c r="G173" s="28">
        <v>18126</v>
      </c>
      <c r="H173" s="28">
        <v>16663</v>
      </c>
      <c r="I173" s="28">
        <v>15143</v>
      </c>
      <c r="J173" s="28">
        <v>14760</v>
      </c>
      <c r="K173" s="28">
        <v>13915</v>
      </c>
      <c r="L173" s="28">
        <v>14880</v>
      </c>
      <c r="M173" s="28">
        <f>15058-28</f>
        <v>15030</v>
      </c>
      <c r="N173" s="28">
        <v>16074</v>
      </c>
      <c r="O173" s="28">
        <v>17707</v>
      </c>
      <c r="P173" s="28">
        <v>18220</v>
      </c>
      <c r="Q173" s="28">
        <v>19110</v>
      </c>
      <c r="R173" s="28">
        <v>19209</v>
      </c>
      <c r="S173" s="28">
        <v>19483</v>
      </c>
      <c r="T173" s="28">
        <v>19614</v>
      </c>
      <c r="U173" s="28">
        <v>20356</v>
      </c>
      <c r="V173" s="28">
        <f t="shared" si="32"/>
        <v>21762</v>
      </c>
    </row>
    <row r="174" spans="1:22" ht="51" x14ac:dyDescent="0.2">
      <c r="A174" s="28" t="s">
        <v>155</v>
      </c>
      <c r="B174" s="28" t="s">
        <v>164</v>
      </c>
      <c r="C174" s="28">
        <v>32106</v>
      </c>
      <c r="D174" s="28">
        <v>41088</v>
      </c>
      <c r="E174" s="28">
        <v>31473</v>
      </c>
      <c r="F174" s="28">
        <v>35614</v>
      </c>
      <c r="G174" s="28">
        <v>43761</v>
      </c>
      <c r="H174" s="28">
        <v>45429</v>
      </c>
      <c r="I174" s="28">
        <v>53319</v>
      </c>
      <c r="J174" s="28">
        <v>49720</v>
      </c>
      <c r="K174" s="28">
        <v>65612</v>
      </c>
      <c r="L174" s="28">
        <v>46078</v>
      </c>
      <c r="M174" s="28">
        <v>34413</v>
      </c>
      <c r="N174" s="28">
        <v>28838</v>
      </c>
      <c r="O174" s="28">
        <v>26727</v>
      </c>
      <c r="P174" s="28">
        <v>21956</v>
      </c>
      <c r="Q174" s="28">
        <v>13183</v>
      </c>
      <c r="R174" s="28">
        <v>15850</v>
      </c>
      <c r="S174" s="28">
        <v>17740</v>
      </c>
      <c r="T174" s="28">
        <v>18232</v>
      </c>
      <c r="U174" s="28">
        <v>18193</v>
      </c>
      <c r="V174" s="28">
        <f t="shared" si="32"/>
        <v>21001</v>
      </c>
    </row>
    <row r="175" spans="1:22" ht="38.25" x14ac:dyDescent="0.2">
      <c r="A175" s="28" t="s">
        <v>155</v>
      </c>
      <c r="B175" s="28" t="s">
        <v>165</v>
      </c>
      <c r="C175" s="28">
        <v>26767</v>
      </c>
      <c r="D175" s="28">
        <v>28141</v>
      </c>
      <c r="E175" s="28">
        <v>23839</v>
      </c>
      <c r="F175" s="28">
        <v>26498</v>
      </c>
      <c r="G175" s="28">
        <v>30153</v>
      </c>
      <c r="H175" s="28">
        <v>30123</v>
      </c>
      <c r="I175" s="28">
        <v>29397</v>
      </c>
      <c r="J175" s="28">
        <v>27982</v>
      </c>
      <c r="K175" s="28">
        <v>31193</v>
      </c>
      <c r="L175" s="28">
        <v>30534</v>
      </c>
      <c r="M175" s="28">
        <f>32325-2868</f>
        <v>29457</v>
      </c>
      <c r="N175" s="28">
        <v>34803</v>
      </c>
      <c r="O175" s="28">
        <v>40064</v>
      </c>
      <c r="P175" s="28">
        <v>42198</v>
      </c>
      <c r="Q175" s="28">
        <v>43504</v>
      </c>
      <c r="R175" s="28">
        <f>44581-217</f>
        <v>44364</v>
      </c>
      <c r="S175" s="28">
        <v>45820</v>
      </c>
      <c r="T175" s="28">
        <v>44356</v>
      </c>
      <c r="U175" s="28">
        <f>44622</f>
        <v>44622</v>
      </c>
      <c r="V175" s="28">
        <f t="shared" si="32"/>
        <v>48091</v>
      </c>
    </row>
    <row r="176" spans="1:22" ht="38.25" x14ac:dyDescent="0.2">
      <c r="A176" s="28" t="s">
        <v>155</v>
      </c>
      <c r="B176" s="28" t="s">
        <v>166</v>
      </c>
      <c r="C176" s="28">
        <v>33439</v>
      </c>
      <c r="D176" s="28">
        <v>28868</v>
      </c>
      <c r="E176" s="28">
        <v>26553</v>
      </c>
      <c r="F176" s="28">
        <v>26157</v>
      </c>
      <c r="G176" s="28">
        <v>28193</v>
      </c>
      <c r="H176" s="28">
        <v>28770</v>
      </c>
      <c r="I176" s="28">
        <v>27232</v>
      </c>
      <c r="J176" s="28">
        <v>27999</v>
      </c>
      <c r="K176" s="28">
        <v>25612</v>
      </c>
      <c r="L176" s="28">
        <v>24301</v>
      </c>
      <c r="M176" s="28">
        <v>24160</v>
      </c>
      <c r="N176" s="28">
        <v>25878</v>
      </c>
      <c r="O176" s="28">
        <v>26834</v>
      </c>
      <c r="P176" s="28">
        <v>26701</v>
      </c>
      <c r="Q176" s="28">
        <f>23096+208</f>
        <v>23304</v>
      </c>
      <c r="R176" s="28">
        <v>22528</v>
      </c>
      <c r="S176" s="28">
        <v>23156</v>
      </c>
      <c r="T176" s="28">
        <v>21464</v>
      </c>
      <c r="U176" s="28">
        <v>23217</v>
      </c>
      <c r="V176" s="28">
        <f t="shared" si="32"/>
        <v>24368</v>
      </c>
    </row>
    <row r="177" spans="1:22" ht="38.25" x14ac:dyDescent="0.2">
      <c r="A177" s="28" t="s">
        <v>155</v>
      </c>
      <c r="B177" s="28" t="s">
        <v>167</v>
      </c>
      <c r="C177" s="28">
        <v>73848</v>
      </c>
      <c r="D177" s="28">
        <v>56139</v>
      </c>
      <c r="E177" s="28">
        <v>87608</v>
      </c>
      <c r="F177" s="28">
        <v>85857</v>
      </c>
      <c r="G177" s="28">
        <v>61809</v>
      </c>
      <c r="H177" s="28">
        <v>50423</v>
      </c>
      <c r="I177" s="28">
        <v>36795</v>
      </c>
      <c r="J177" s="28">
        <v>30024</v>
      </c>
      <c r="K177" s="28">
        <v>29435</v>
      </c>
      <c r="L177" s="28">
        <v>30002</v>
      </c>
      <c r="M177" s="28">
        <v>27359</v>
      </c>
      <c r="N177" s="28">
        <v>22415</v>
      </c>
      <c r="O177" s="28">
        <v>18827</v>
      </c>
      <c r="P177" s="28">
        <v>21978</v>
      </c>
      <c r="Q177" s="28">
        <f>25368-2</f>
        <v>25366</v>
      </c>
      <c r="R177" s="28">
        <v>25522</v>
      </c>
      <c r="S177" s="28">
        <v>29475</v>
      </c>
      <c r="T177" s="28">
        <v>30418</v>
      </c>
      <c r="U177" s="28">
        <v>30462</v>
      </c>
      <c r="V177" s="28">
        <f t="shared" si="32"/>
        <v>27587</v>
      </c>
    </row>
    <row r="178" spans="1:22" ht="51" x14ac:dyDescent="0.2">
      <c r="A178" s="28" t="s">
        <v>155</v>
      </c>
      <c r="B178" s="28" t="s">
        <v>168</v>
      </c>
      <c r="C178" s="28">
        <v>46602</v>
      </c>
      <c r="D178" s="28">
        <v>52728</v>
      </c>
      <c r="E178" s="28">
        <v>57981</v>
      </c>
      <c r="F178" s="28">
        <v>65411</v>
      </c>
      <c r="G178" s="28">
        <v>72359</v>
      </c>
      <c r="H178" s="28">
        <v>81383</v>
      </c>
      <c r="I178" s="28">
        <v>88814</v>
      </c>
      <c r="J178" s="28">
        <v>94678</v>
      </c>
      <c r="K178" s="28">
        <v>97974</v>
      </c>
      <c r="L178" s="28">
        <v>99355</v>
      </c>
      <c r="M178" s="28">
        <v>101507</v>
      </c>
      <c r="N178" s="28">
        <v>109700</v>
      </c>
      <c r="O178" s="28">
        <v>124050</v>
      </c>
      <c r="P178" s="28">
        <v>138410</v>
      </c>
      <c r="Q178" s="28">
        <f>158049-493</f>
        <v>157556</v>
      </c>
      <c r="R178" s="28">
        <v>171546</v>
      </c>
      <c r="S178" s="28">
        <v>172045</v>
      </c>
      <c r="T178" s="28">
        <v>170764</v>
      </c>
      <c r="U178" s="28">
        <v>178187</v>
      </c>
      <c r="V178" s="28">
        <f t="shared" si="32"/>
        <v>185689</v>
      </c>
    </row>
    <row r="179" spans="1:22" ht="51" x14ac:dyDescent="0.2">
      <c r="A179" s="28" t="s">
        <v>155</v>
      </c>
      <c r="B179" s="28" t="s">
        <v>169</v>
      </c>
      <c r="C179" s="28">
        <v>7886</v>
      </c>
      <c r="D179" s="28">
        <v>9756</v>
      </c>
      <c r="E179" s="28">
        <v>11600</v>
      </c>
      <c r="F179" s="28">
        <v>11373</v>
      </c>
      <c r="G179" s="28">
        <v>10789</v>
      </c>
      <c r="H179" s="28">
        <v>8085</v>
      </c>
      <c r="I179" s="28">
        <v>8441</v>
      </c>
      <c r="J179" s="28">
        <v>8923</v>
      </c>
      <c r="K179" s="28">
        <v>7617</v>
      </c>
      <c r="L179" s="28">
        <v>7967</v>
      </c>
      <c r="M179" s="28">
        <v>9557</v>
      </c>
      <c r="N179" s="28">
        <v>9813</v>
      </c>
      <c r="O179" s="28">
        <v>18242</v>
      </c>
      <c r="P179" s="28">
        <v>42584</v>
      </c>
      <c r="Q179" s="28">
        <v>44446</v>
      </c>
      <c r="R179" s="28">
        <v>48221</v>
      </c>
      <c r="S179" s="28">
        <v>47272</v>
      </c>
      <c r="T179" s="28">
        <v>42548</v>
      </c>
      <c r="U179" s="28">
        <v>42793</v>
      </c>
      <c r="V179" s="28">
        <f t="shared" si="32"/>
        <v>45527</v>
      </c>
    </row>
    <row r="180" spans="1:22" ht="38.25" x14ac:dyDescent="0.2">
      <c r="A180" s="28" t="s">
        <v>155</v>
      </c>
      <c r="B180" s="28" t="s">
        <v>170</v>
      </c>
      <c r="C180" s="28">
        <v>1255</v>
      </c>
      <c r="D180" s="28">
        <v>1557</v>
      </c>
      <c r="E180" s="28">
        <v>2360</v>
      </c>
      <c r="F180" s="28">
        <v>2940</v>
      </c>
      <c r="G180" s="28">
        <v>3158</v>
      </c>
      <c r="H180" s="28">
        <v>3249</v>
      </c>
      <c r="I180" s="28">
        <v>2880</v>
      </c>
      <c r="J180" s="28">
        <v>3070</v>
      </c>
      <c r="K180" s="28">
        <v>3683</v>
      </c>
      <c r="L180" s="28">
        <v>4035</v>
      </c>
      <c r="M180" s="28">
        <v>3813</v>
      </c>
      <c r="N180" s="28">
        <v>2167</v>
      </c>
      <c r="O180" s="28">
        <v>3074</v>
      </c>
      <c r="P180" s="28">
        <v>3131</v>
      </c>
      <c r="Q180" s="28">
        <v>3124</v>
      </c>
      <c r="R180" s="28">
        <v>3111</v>
      </c>
      <c r="S180" s="28">
        <f>3165+3</f>
        <v>3168</v>
      </c>
      <c r="T180" s="28">
        <v>3497</v>
      </c>
      <c r="U180" s="28">
        <v>3826</v>
      </c>
      <c r="V180" s="28">
        <f t="shared" si="32"/>
        <v>4139</v>
      </c>
    </row>
    <row r="181" spans="1:22" ht="38.25" x14ac:dyDescent="0.2">
      <c r="A181" s="28" t="s">
        <v>155</v>
      </c>
      <c r="B181" s="28" t="s">
        <v>171</v>
      </c>
      <c r="C181" s="28">
        <f t="shared" ref="C181:V181" si="33">SUM(C182:C184)</f>
        <v>80726</v>
      </c>
      <c r="D181" s="28">
        <f t="shared" si="33"/>
        <v>87826</v>
      </c>
      <c r="E181" s="28">
        <f t="shared" si="33"/>
        <v>95196</v>
      </c>
      <c r="F181" s="28">
        <f t="shared" si="33"/>
        <v>101969</v>
      </c>
      <c r="G181" s="28">
        <f t="shared" si="33"/>
        <v>114652</v>
      </c>
      <c r="H181" s="28">
        <f t="shared" si="33"/>
        <v>105637</v>
      </c>
      <c r="I181" s="28">
        <f t="shared" si="33"/>
        <v>93158</v>
      </c>
      <c r="J181" s="28">
        <f t="shared" si="33"/>
        <v>84686</v>
      </c>
      <c r="K181" s="28">
        <f t="shared" si="33"/>
        <v>89031</v>
      </c>
      <c r="L181" s="28">
        <f t="shared" si="33"/>
        <v>107145</v>
      </c>
      <c r="M181" s="28">
        <f t="shared" si="33"/>
        <v>130988</v>
      </c>
      <c r="N181" s="28">
        <f t="shared" si="33"/>
        <v>143427</v>
      </c>
      <c r="O181" s="28">
        <f t="shared" si="33"/>
        <v>144170</v>
      </c>
      <c r="P181" s="28">
        <f t="shared" si="33"/>
        <v>130103</v>
      </c>
      <c r="Q181" s="28">
        <f t="shared" si="33"/>
        <v>126477</v>
      </c>
      <c r="R181" s="28">
        <f t="shared" si="33"/>
        <v>115775</v>
      </c>
      <c r="S181" s="28">
        <f t="shared" si="33"/>
        <v>109968</v>
      </c>
      <c r="T181" s="28">
        <f t="shared" si="33"/>
        <v>105506</v>
      </c>
      <c r="U181" s="28">
        <f t="shared" si="33"/>
        <v>114377</v>
      </c>
      <c r="V181" s="28">
        <f t="shared" si="33"/>
        <v>127377</v>
      </c>
    </row>
    <row r="182" spans="1:22" ht="51" x14ac:dyDescent="0.2">
      <c r="A182" s="28" t="s">
        <v>155</v>
      </c>
      <c r="B182" s="28" t="s">
        <v>172</v>
      </c>
      <c r="C182" s="28">
        <v>8417</v>
      </c>
      <c r="D182" s="28">
        <f>C426</f>
        <v>8544</v>
      </c>
      <c r="E182" s="28">
        <f>D426</f>
        <v>9079</v>
      </c>
      <c r="F182" s="28">
        <v>10262</v>
      </c>
      <c r="G182" s="28">
        <v>10508</v>
      </c>
      <c r="H182" s="28">
        <v>10556</v>
      </c>
      <c r="I182" s="28">
        <v>12054</v>
      </c>
      <c r="J182" s="28">
        <v>12529</v>
      </c>
      <c r="K182" s="28">
        <v>11830</v>
      </c>
      <c r="L182" s="28">
        <v>11550</v>
      </c>
      <c r="M182" s="28">
        <v>13366</v>
      </c>
      <c r="N182" s="28">
        <v>16461</v>
      </c>
      <c r="O182" s="28">
        <v>18461</v>
      </c>
      <c r="P182" s="28">
        <v>21740</v>
      </c>
      <c r="Q182" s="28">
        <v>24703</v>
      </c>
      <c r="R182" s="28">
        <v>26907</v>
      </c>
      <c r="S182" s="28">
        <v>29845</v>
      </c>
      <c r="T182" s="28">
        <f>31966-181</f>
        <v>31785</v>
      </c>
      <c r="U182" s="28">
        <v>32942</v>
      </c>
      <c r="V182" s="28">
        <f>U426</f>
        <v>30403</v>
      </c>
    </row>
    <row r="183" spans="1:22" ht="51" x14ac:dyDescent="0.2">
      <c r="A183" s="28" t="s">
        <v>155</v>
      </c>
      <c r="B183" s="28" t="s">
        <v>173</v>
      </c>
      <c r="C183" s="28">
        <v>10300</v>
      </c>
      <c r="D183" s="28">
        <f>C427</f>
        <v>15845</v>
      </c>
      <c r="E183" s="28">
        <f>20660-802</f>
        <v>19858</v>
      </c>
      <c r="F183" s="28">
        <v>20311</v>
      </c>
      <c r="G183" s="28">
        <v>21193</v>
      </c>
      <c r="H183" s="28">
        <v>26379</v>
      </c>
      <c r="I183" s="28">
        <f>27333+3</f>
        <v>27336</v>
      </c>
      <c r="J183" s="28">
        <v>26257</v>
      </c>
      <c r="K183" s="28">
        <v>24941</v>
      </c>
      <c r="L183" s="28">
        <f>28799-112</f>
        <v>28687</v>
      </c>
      <c r="M183" s="28">
        <v>32281</v>
      </c>
      <c r="N183" s="28">
        <v>38958</v>
      </c>
      <c r="O183" s="28">
        <v>46908</v>
      </c>
      <c r="P183" s="28">
        <v>43761</v>
      </c>
      <c r="Q183" s="28">
        <v>40173</v>
      </c>
      <c r="R183" s="28">
        <v>36428</v>
      </c>
      <c r="S183" s="28">
        <v>34293</v>
      </c>
      <c r="T183" s="28">
        <v>26091</v>
      </c>
      <c r="U183" s="28">
        <v>25853</v>
      </c>
      <c r="V183" s="28">
        <f>U427</f>
        <v>29594</v>
      </c>
    </row>
    <row r="184" spans="1:22" ht="51" x14ac:dyDescent="0.2">
      <c r="A184" s="28" t="s">
        <v>155</v>
      </c>
      <c r="B184" s="28" t="s">
        <v>174</v>
      </c>
      <c r="C184" s="28">
        <v>62009</v>
      </c>
      <c r="D184" s="28">
        <f>C428</f>
        <v>63437</v>
      </c>
      <c r="E184" s="28">
        <f>D428</f>
        <v>66259</v>
      </c>
      <c r="F184" s="28">
        <f>71398-2</f>
        <v>71396</v>
      </c>
      <c r="G184" s="28">
        <v>82951</v>
      </c>
      <c r="H184" s="28">
        <v>68702</v>
      </c>
      <c r="I184" s="28">
        <v>53768</v>
      </c>
      <c r="J184" s="28">
        <v>45900</v>
      </c>
      <c r="K184" s="28">
        <v>52260</v>
      </c>
      <c r="L184" s="28">
        <f>66911-3</f>
        <v>66908</v>
      </c>
      <c r="M184" s="28">
        <v>85341</v>
      </c>
      <c r="N184" s="28">
        <v>88008</v>
      </c>
      <c r="O184" s="28">
        <v>78801</v>
      </c>
      <c r="P184" s="28">
        <f>64664-62</f>
        <v>64602</v>
      </c>
      <c r="Q184" s="28">
        <v>61601</v>
      </c>
      <c r="R184" s="28">
        <v>52440</v>
      </c>
      <c r="S184" s="28">
        <v>45830</v>
      </c>
      <c r="T184" s="28">
        <f>47650-20</f>
        <v>47630</v>
      </c>
      <c r="U184" s="28">
        <f>55657-75</f>
        <v>55582</v>
      </c>
      <c r="V184" s="28">
        <f>U428</f>
        <v>67380</v>
      </c>
    </row>
    <row r="185" spans="1:22" ht="38.25" x14ac:dyDescent="0.2">
      <c r="A185" s="28" t="s">
        <v>155</v>
      </c>
      <c r="B185" s="28" t="s">
        <v>175</v>
      </c>
      <c r="C185" s="28">
        <f t="shared" ref="C185:V185" si="34">SUM(C186:C187)</f>
        <v>4623</v>
      </c>
      <c r="D185" s="28">
        <f t="shared" si="34"/>
        <v>5182</v>
      </c>
      <c r="E185" s="28">
        <f t="shared" si="34"/>
        <v>6229</v>
      </c>
      <c r="F185" s="28">
        <f t="shared" si="34"/>
        <v>6755</v>
      </c>
      <c r="G185" s="28">
        <f t="shared" si="34"/>
        <v>6716</v>
      </c>
      <c r="H185" s="28">
        <f t="shared" si="34"/>
        <v>5593</v>
      </c>
      <c r="I185" s="28">
        <f t="shared" si="34"/>
        <v>5074</v>
      </c>
      <c r="J185" s="28">
        <f t="shared" si="34"/>
        <v>5021</v>
      </c>
      <c r="K185" s="28">
        <f t="shared" si="34"/>
        <v>5702</v>
      </c>
      <c r="L185" s="28">
        <f t="shared" si="34"/>
        <v>6722</v>
      </c>
      <c r="M185" s="28">
        <f t="shared" si="34"/>
        <v>8407</v>
      </c>
      <c r="N185" s="28">
        <f t="shared" si="34"/>
        <v>9773</v>
      </c>
      <c r="O185" s="28">
        <f t="shared" si="34"/>
        <v>12039</v>
      </c>
      <c r="P185" s="28">
        <f t="shared" si="34"/>
        <v>12161</v>
      </c>
      <c r="Q185" s="28">
        <f t="shared" si="34"/>
        <v>12369</v>
      </c>
      <c r="R185" s="28">
        <f t="shared" si="34"/>
        <v>12210</v>
      </c>
      <c r="S185" s="28">
        <f t="shared" si="34"/>
        <v>10730</v>
      </c>
      <c r="T185" s="28">
        <f t="shared" si="34"/>
        <v>9782</v>
      </c>
      <c r="U185" s="28">
        <f t="shared" si="34"/>
        <v>9040</v>
      </c>
      <c r="V185" s="28">
        <f t="shared" si="34"/>
        <v>8292</v>
      </c>
    </row>
    <row r="186" spans="1:22" ht="51" x14ac:dyDescent="0.2">
      <c r="A186" s="28" t="s">
        <v>155</v>
      </c>
      <c r="B186" s="28" t="s">
        <v>176</v>
      </c>
      <c r="C186" s="28">
        <v>2646</v>
      </c>
      <c r="D186" s="28">
        <f>C430</f>
        <v>2603</v>
      </c>
      <c r="E186" s="28">
        <v>3476</v>
      </c>
      <c r="F186" s="28">
        <v>4469</v>
      </c>
      <c r="G186" s="28">
        <v>4348</v>
      </c>
      <c r="H186" s="28">
        <v>4171</v>
      </c>
      <c r="I186" s="28">
        <v>3953</v>
      </c>
      <c r="J186" s="28">
        <v>3994</v>
      </c>
      <c r="K186" s="28">
        <v>4353</v>
      </c>
      <c r="L186" s="28">
        <v>5087</v>
      </c>
      <c r="M186" s="28">
        <v>5711</v>
      </c>
      <c r="N186" s="28">
        <v>6894</v>
      </c>
      <c r="O186" s="28">
        <v>9634</v>
      </c>
      <c r="P186" s="28">
        <v>10328</v>
      </c>
      <c r="Q186" s="28">
        <v>10754</v>
      </c>
      <c r="R186" s="28">
        <v>10814</v>
      </c>
      <c r="S186" s="28">
        <v>9725</v>
      </c>
      <c r="T186" s="28">
        <f>9200-667</f>
        <v>8533</v>
      </c>
      <c r="U186" s="28">
        <v>7757</v>
      </c>
      <c r="V186" s="28">
        <f>U430</f>
        <v>6763</v>
      </c>
    </row>
    <row r="187" spans="1:22" ht="51" x14ac:dyDescent="0.2">
      <c r="A187" s="28" t="s">
        <v>155</v>
      </c>
      <c r="B187" s="28" t="s">
        <v>177</v>
      </c>
      <c r="C187" s="28">
        <v>1977</v>
      </c>
      <c r="D187" s="28">
        <f>C431</f>
        <v>2579</v>
      </c>
      <c r="E187" s="28">
        <f>D431</f>
        <v>2753</v>
      </c>
      <c r="F187" s="28">
        <v>2286</v>
      </c>
      <c r="G187" s="28">
        <v>2368</v>
      </c>
      <c r="H187" s="28">
        <v>1422</v>
      </c>
      <c r="I187" s="28">
        <v>1121</v>
      </c>
      <c r="J187" s="28">
        <v>1027</v>
      </c>
      <c r="K187" s="28">
        <v>1349</v>
      </c>
      <c r="L187" s="28">
        <v>1635</v>
      </c>
      <c r="M187" s="28">
        <v>2696</v>
      </c>
      <c r="N187" s="28">
        <v>2879</v>
      </c>
      <c r="O187" s="28">
        <v>2405</v>
      </c>
      <c r="P187" s="28">
        <v>1833</v>
      </c>
      <c r="Q187" s="28">
        <v>1615</v>
      </c>
      <c r="R187" s="28">
        <v>1396</v>
      </c>
      <c r="S187" s="28">
        <f>1065-60</f>
        <v>1005</v>
      </c>
      <c r="T187" s="28">
        <v>1249</v>
      </c>
      <c r="U187" s="28">
        <v>1283</v>
      </c>
      <c r="V187" s="28">
        <f>U431</f>
        <v>1529</v>
      </c>
    </row>
    <row r="188" spans="1:22" ht="51" x14ac:dyDescent="0.2">
      <c r="A188" s="28" t="s">
        <v>155</v>
      </c>
      <c r="B188" s="28" t="s">
        <v>178</v>
      </c>
      <c r="C188" s="28">
        <f t="shared" ref="C188:V188" si="35">C189</f>
        <v>1586</v>
      </c>
      <c r="D188" s="28">
        <f t="shared" si="35"/>
        <v>1601</v>
      </c>
      <c r="E188" s="28">
        <f t="shared" si="35"/>
        <v>2100</v>
      </c>
      <c r="F188" s="28">
        <f t="shared" si="35"/>
        <v>4184</v>
      </c>
      <c r="G188" s="28">
        <f t="shared" si="35"/>
        <v>3067</v>
      </c>
      <c r="H188" s="28">
        <f t="shared" si="35"/>
        <v>2792</v>
      </c>
      <c r="I188" s="28">
        <f t="shared" si="35"/>
        <v>3087</v>
      </c>
      <c r="J188" s="28">
        <f t="shared" si="35"/>
        <v>1930</v>
      </c>
      <c r="K188" s="28">
        <f t="shared" si="35"/>
        <v>1772</v>
      </c>
      <c r="L188" s="28">
        <f t="shared" si="35"/>
        <v>2642</v>
      </c>
      <c r="M188" s="28">
        <f t="shared" si="35"/>
        <v>3107</v>
      </c>
      <c r="N188" s="28">
        <f t="shared" si="35"/>
        <v>1512</v>
      </c>
      <c r="O188" s="28">
        <f t="shared" si="35"/>
        <v>1520</v>
      </c>
      <c r="P188" s="28">
        <f t="shared" si="35"/>
        <v>1741</v>
      </c>
      <c r="Q188" s="28">
        <f t="shared" si="35"/>
        <v>1001</v>
      </c>
      <c r="R188" s="28">
        <f t="shared" si="35"/>
        <v>1070</v>
      </c>
      <c r="S188" s="28">
        <f t="shared" si="35"/>
        <v>1114</v>
      </c>
      <c r="T188" s="28">
        <f t="shared" si="35"/>
        <v>1344</v>
      </c>
      <c r="U188" s="28">
        <f t="shared" si="35"/>
        <v>1718</v>
      </c>
      <c r="V188" s="28">
        <f t="shared" si="35"/>
        <v>2306</v>
      </c>
    </row>
    <row r="189" spans="1:22" ht="38.25" x14ac:dyDescent="0.2">
      <c r="A189" s="28" t="s">
        <v>155</v>
      </c>
      <c r="B189" s="28" t="s">
        <v>179</v>
      </c>
      <c r="C189" s="28">
        <v>1586</v>
      </c>
      <c r="D189" s="28">
        <v>1601</v>
      </c>
      <c r="E189" s="28">
        <v>2100</v>
      </c>
      <c r="F189" s="28">
        <v>4184</v>
      </c>
      <c r="G189" s="28">
        <v>3067</v>
      </c>
      <c r="H189" s="28">
        <v>2792</v>
      </c>
      <c r="I189" s="28">
        <v>3087</v>
      </c>
      <c r="J189" s="28">
        <v>1930</v>
      </c>
      <c r="K189" s="28">
        <v>1772</v>
      </c>
      <c r="L189" s="28">
        <v>2642</v>
      </c>
      <c r="M189" s="28">
        <v>3107</v>
      </c>
      <c r="N189" s="28">
        <v>1512</v>
      </c>
      <c r="O189" s="28">
        <v>1520</v>
      </c>
      <c r="P189" s="28">
        <v>1741</v>
      </c>
      <c r="Q189" s="28">
        <v>1001</v>
      </c>
      <c r="R189" s="28">
        <v>1070</v>
      </c>
      <c r="S189" s="28">
        <v>1114</v>
      </c>
      <c r="T189" s="28">
        <v>1344</v>
      </c>
      <c r="U189" s="28">
        <v>1718</v>
      </c>
      <c r="V189" s="28">
        <f>U433</f>
        <v>2306</v>
      </c>
    </row>
    <row r="190" spans="1:22" ht="38.25" x14ac:dyDescent="0.2">
      <c r="A190" s="28" t="s">
        <v>155</v>
      </c>
      <c r="B190" s="28" t="s">
        <v>180</v>
      </c>
      <c r="C190" s="28">
        <f t="shared" ref="C190:V190" si="36">SUM(C191:C201)</f>
        <v>4636</v>
      </c>
      <c r="D190" s="28">
        <f t="shared" si="36"/>
        <v>7723</v>
      </c>
      <c r="E190" s="28">
        <f t="shared" si="36"/>
        <v>9763</v>
      </c>
      <c r="F190" s="28">
        <f t="shared" si="36"/>
        <v>8180</v>
      </c>
      <c r="G190" s="28">
        <f t="shared" si="36"/>
        <v>7485</v>
      </c>
      <c r="H190" s="28">
        <f t="shared" si="36"/>
        <v>8178</v>
      </c>
      <c r="I190" s="28">
        <f t="shared" si="36"/>
        <v>9048</v>
      </c>
      <c r="J190" s="28">
        <f t="shared" si="36"/>
        <v>6531</v>
      </c>
      <c r="K190" s="28">
        <f t="shared" si="36"/>
        <v>6509</v>
      </c>
      <c r="L190" s="28">
        <f t="shared" si="36"/>
        <v>5165</v>
      </c>
      <c r="M190" s="28">
        <f t="shared" si="36"/>
        <v>4512</v>
      </c>
      <c r="N190" s="28">
        <f t="shared" si="36"/>
        <v>4170</v>
      </c>
      <c r="O190" s="28">
        <f t="shared" si="36"/>
        <v>4010</v>
      </c>
      <c r="P190" s="28">
        <f t="shared" si="36"/>
        <v>4556</v>
      </c>
      <c r="Q190" s="28">
        <f t="shared" si="36"/>
        <v>5596</v>
      </c>
      <c r="R190" s="28">
        <f t="shared" si="36"/>
        <v>7015</v>
      </c>
      <c r="S190" s="28">
        <f t="shared" si="36"/>
        <v>7966</v>
      </c>
      <c r="T190" s="28">
        <f t="shared" si="36"/>
        <v>7733</v>
      </c>
      <c r="U190" s="28">
        <f t="shared" si="36"/>
        <v>7918</v>
      </c>
      <c r="V190" s="28">
        <f t="shared" si="36"/>
        <v>6019</v>
      </c>
    </row>
    <row r="191" spans="1:22" ht="38.25" x14ac:dyDescent="0.2">
      <c r="A191" s="28" t="s">
        <v>155</v>
      </c>
      <c r="B191" s="28" t="s">
        <v>181</v>
      </c>
      <c r="C191" s="28">
        <v>0</v>
      </c>
      <c r="D191" s="28">
        <v>0</v>
      </c>
      <c r="E191" s="28">
        <v>0</v>
      </c>
      <c r="F191" s="28">
        <v>0</v>
      </c>
      <c r="G191" s="28">
        <v>0</v>
      </c>
      <c r="H191" s="28">
        <v>0</v>
      </c>
      <c r="I191" s="28">
        <v>0</v>
      </c>
      <c r="J191" s="28">
        <v>0</v>
      </c>
      <c r="K191" s="28">
        <v>0</v>
      </c>
      <c r="L191" s="28">
        <v>0</v>
      </c>
      <c r="M191" s="28">
        <v>0</v>
      </c>
      <c r="N191" s="28">
        <v>0</v>
      </c>
      <c r="O191" s="28">
        <v>0</v>
      </c>
      <c r="P191" s="28">
        <v>947</v>
      </c>
      <c r="Q191" s="28">
        <v>912</v>
      </c>
      <c r="R191" s="28">
        <v>925</v>
      </c>
      <c r="S191" s="28">
        <v>1123</v>
      </c>
      <c r="T191" s="28">
        <v>1010</v>
      </c>
      <c r="U191" s="28">
        <v>1008</v>
      </c>
      <c r="V191" s="28">
        <f t="shared" ref="V191:V201" si="37">U435</f>
        <v>1250</v>
      </c>
    </row>
    <row r="192" spans="1:22" ht="38.25" x14ac:dyDescent="0.2">
      <c r="A192" s="28" t="s">
        <v>155</v>
      </c>
      <c r="B192" s="28" t="s">
        <v>182</v>
      </c>
      <c r="C192" s="28">
        <v>0</v>
      </c>
      <c r="D192" s="28">
        <v>0</v>
      </c>
      <c r="E192" s="28">
        <v>0</v>
      </c>
      <c r="F192" s="28">
        <v>0</v>
      </c>
      <c r="G192" s="28">
        <v>0</v>
      </c>
      <c r="H192" s="28">
        <v>0</v>
      </c>
      <c r="I192" s="28">
        <v>0</v>
      </c>
      <c r="J192" s="28">
        <v>0</v>
      </c>
      <c r="K192" s="28">
        <v>0</v>
      </c>
      <c r="L192" s="28">
        <v>0</v>
      </c>
      <c r="M192" s="28">
        <v>0</v>
      </c>
      <c r="N192" s="28">
        <v>0</v>
      </c>
      <c r="O192" s="28">
        <v>0</v>
      </c>
      <c r="P192" s="28">
        <v>73</v>
      </c>
      <c r="Q192" s="28">
        <v>135</v>
      </c>
      <c r="R192" s="28">
        <v>20</v>
      </c>
      <c r="S192" s="28">
        <v>12</v>
      </c>
      <c r="T192" s="28">
        <v>23</v>
      </c>
      <c r="U192" s="28">
        <v>21</v>
      </c>
      <c r="V192" s="28">
        <f t="shared" si="37"/>
        <v>17</v>
      </c>
    </row>
    <row r="193" spans="1:22" ht="38.25" x14ac:dyDescent="0.2">
      <c r="A193" s="28" t="s">
        <v>155</v>
      </c>
      <c r="B193" s="28" t="s">
        <v>183</v>
      </c>
      <c r="C193" s="28">
        <v>955</v>
      </c>
      <c r="D193" s="28">
        <v>979</v>
      </c>
      <c r="E193" s="28">
        <v>910</v>
      </c>
      <c r="F193" s="28">
        <f>1036-4</f>
        <v>1032</v>
      </c>
      <c r="G193" s="28">
        <v>1108</v>
      </c>
      <c r="H193" s="28">
        <v>896</v>
      </c>
      <c r="I193" s="28">
        <f>1038-168</f>
        <v>870</v>
      </c>
      <c r="J193" s="28">
        <v>775</v>
      </c>
      <c r="K193" s="28">
        <v>841</v>
      </c>
      <c r="L193" s="28">
        <v>953</v>
      </c>
      <c r="M193" s="28">
        <v>882</v>
      </c>
      <c r="N193" s="28">
        <v>798</v>
      </c>
      <c r="O193" s="28">
        <v>1078</v>
      </c>
      <c r="P193" s="28">
        <f>1199-4</f>
        <v>1195</v>
      </c>
      <c r="Q193" s="28">
        <v>1713</v>
      </c>
      <c r="R193" s="28">
        <v>1974</v>
      </c>
      <c r="S193" s="28">
        <v>2434</v>
      </c>
      <c r="T193" s="28">
        <f>2067-342</f>
        <v>1725</v>
      </c>
      <c r="U193" s="28">
        <v>2332</v>
      </c>
      <c r="V193" s="28">
        <f t="shared" si="37"/>
        <v>2100</v>
      </c>
    </row>
    <row r="194" spans="1:22" ht="38.25" x14ac:dyDescent="0.2">
      <c r="A194" s="28" t="s">
        <v>155</v>
      </c>
      <c r="B194" s="28" t="s">
        <v>184</v>
      </c>
      <c r="C194" s="28">
        <v>1629</v>
      </c>
      <c r="D194" s="28">
        <v>4408</v>
      </c>
      <c r="E194" s="28">
        <v>5849</v>
      </c>
      <c r="F194" s="28">
        <v>4089</v>
      </c>
      <c r="G194" s="28">
        <v>2674</v>
      </c>
      <c r="H194" s="28">
        <v>4410</v>
      </c>
      <c r="I194" s="28">
        <v>5439</v>
      </c>
      <c r="J194" s="28">
        <v>3309</v>
      </c>
      <c r="K194" s="28">
        <v>2337</v>
      </c>
      <c r="L194" s="28">
        <v>1889</v>
      </c>
      <c r="M194" s="28">
        <v>2202</v>
      </c>
      <c r="N194" s="28">
        <v>2106</v>
      </c>
      <c r="O194" s="28">
        <v>1877</v>
      </c>
      <c r="P194" s="28">
        <f>1673-10</f>
        <v>1663</v>
      </c>
      <c r="Q194" s="28">
        <v>1914</v>
      </c>
      <c r="R194" s="28">
        <v>3129</v>
      </c>
      <c r="S194" s="28">
        <v>3644</v>
      </c>
      <c r="T194" s="28">
        <f>4530-314</f>
        <v>4216</v>
      </c>
      <c r="U194" s="28">
        <v>3720</v>
      </c>
      <c r="V194" s="28">
        <f t="shared" si="37"/>
        <v>2195</v>
      </c>
    </row>
    <row r="195" spans="1:22" ht="38.25" x14ac:dyDescent="0.2">
      <c r="A195" s="28" t="s">
        <v>155</v>
      </c>
      <c r="B195" s="28" t="s">
        <v>185</v>
      </c>
      <c r="C195" s="28">
        <v>805</v>
      </c>
      <c r="D195" s="28">
        <v>807</v>
      </c>
      <c r="E195" s="28">
        <v>1148</v>
      </c>
      <c r="F195" s="28">
        <v>1105</v>
      </c>
      <c r="G195" s="28">
        <v>824</v>
      </c>
      <c r="H195" s="28">
        <v>881</v>
      </c>
      <c r="I195" s="28">
        <v>807</v>
      </c>
      <c r="J195" s="28">
        <v>874</v>
      </c>
      <c r="K195" s="28">
        <v>1095</v>
      </c>
      <c r="L195" s="28">
        <v>942</v>
      </c>
      <c r="M195" s="28">
        <v>578</v>
      </c>
      <c r="N195" s="28">
        <v>323</v>
      </c>
      <c r="O195" s="28">
        <v>191</v>
      </c>
      <c r="P195" s="28">
        <v>218</v>
      </c>
      <c r="Q195" s="28">
        <v>49</v>
      </c>
      <c r="R195" s="28">
        <v>41</v>
      </c>
      <c r="S195" s="28">
        <f>20-1</f>
        <v>19</v>
      </c>
      <c r="T195" s="28">
        <v>10</v>
      </c>
      <c r="U195" s="28">
        <v>17</v>
      </c>
      <c r="V195" s="28">
        <f t="shared" si="37"/>
        <v>9</v>
      </c>
    </row>
    <row r="196" spans="1:22" ht="51" x14ac:dyDescent="0.2">
      <c r="A196" s="28" t="s">
        <v>155</v>
      </c>
      <c r="B196" s="28" t="s">
        <v>186</v>
      </c>
      <c r="C196" s="28">
        <v>0</v>
      </c>
      <c r="D196" s="28">
        <v>0</v>
      </c>
      <c r="E196" s="28">
        <v>0</v>
      </c>
      <c r="F196" s="28">
        <v>0</v>
      </c>
      <c r="G196" s="28">
        <v>0</v>
      </c>
      <c r="H196" s="28">
        <v>0</v>
      </c>
      <c r="I196" s="28">
        <v>0</v>
      </c>
      <c r="J196" s="28">
        <v>0</v>
      </c>
      <c r="K196" s="28">
        <v>0</v>
      </c>
      <c r="L196" s="28">
        <v>0</v>
      </c>
      <c r="M196" s="28">
        <f>78-78</f>
        <v>0</v>
      </c>
      <c r="N196" s="28">
        <v>64</v>
      </c>
      <c r="O196" s="28">
        <v>115</v>
      </c>
      <c r="P196" s="28">
        <v>48</v>
      </c>
      <c r="Q196" s="28">
        <v>187</v>
      </c>
      <c r="R196" s="28">
        <v>157</v>
      </c>
      <c r="S196" s="28">
        <v>67</v>
      </c>
      <c r="T196" s="28">
        <v>82</v>
      </c>
      <c r="U196" s="28">
        <v>139</v>
      </c>
      <c r="V196" s="28">
        <f t="shared" si="37"/>
        <v>85</v>
      </c>
    </row>
    <row r="197" spans="1:22" ht="38.25" x14ac:dyDescent="0.2">
      <c r="A197" s="28" t="s">
        <v>155</v>
      </c>
      <c r="B197" s="28" t="s">
        <v>187</v>
      </c>
      <c r="C197" s="28">
        <v>180</v>
      </c>
      <c r="D197" s="28">
        <v>292</v>
      </c>
      <c r="E197" s="28">
        <v>247</v>
      </c>
      <c r="F197" s="28">
        <v>323</v>
      </c>
      <c r="G197" s="28">
        <v>474</v>
      </c>
      <c r="H197" s="28">
        <v>406</v>
      </c>
      <c r="I197" s="28">
        <v>447</v>
      </c>
      <c r="J197" s="28">
        <v>253</v>
      </c>
      <c r="K197" s="28">
        <v>316</v>
      </c>
      <c r="L197" s="28">
        <v>374</v>
      </c>
      <c r="M197" s="28">
        <v>592</v>
      </c>
      <c r="N197" s="28">
        <v>601</v>
      </c>
      <c r="O197" s="28">
        <v>417</v>
      </c>
      <c r="P197" s="28">
        <v>137</v>
      </c>
      <c r="Q197" s="28">
        <v>238</v>
      </c>
      <c r="R197" s="28">
        <v>381</v>
      </c>
      <c r="S197" s="28">
        <v>369</v>
      </c>
      <c r="T197" s="28">
        <v>340</v>
      </c>
      <c r="U197" s="28">
        <v>332</v>
      </c>
      <c r="V197" s="28">
        <f t="shared" si="37"/>
        <v>44</v>
      </c>
    </row>
    <row r="198" spans="1:22" ht="38.25" x14ac:dyDescent="0.2">
      <c r="A198" s="28" t="s">
        <v>155</v>
      </c>
      <c r="B198" s="28" t="s">
        <v>188</v>
      </c>
      <c r="C198" s="28">
        <v>213</v>
      </c>
      <c r="D198" s="28">
        <v>291</v>
      </c>
      <c r="E198" s="28">
        <v>253</v>
      </c>
      <c r="F198" s="28">
        <v>352</v>
      </c>
      <c r="G198" s="28">
        <v>517</v>
      </c>
      <c r="H198" s="28">
        <v>229</v>
      </c>
      <c r="I198" s="28">
        <v>472</v>
      </c>
      <c r="J198" s="28">
        <v>360</v>
      </c>
      <c r="K198" s="28">
        <v>613</v>
      </c>
      <c r="L198" s="28">
        <v>275</v>
      </c>
      <c r="M198" s="28">
        <v>144</v>
      </c>
      <c r="N198" s="28">
        <v>187</v>
      </c>
      <c r="O198" s="28">
        <v>235</v>
      </c>
      <c r="P198" s="28">
        <v>137</v>
      </c>
      <c r="Q198" s="28">
        <v>255</v>
      </c>
      <c r="R198" s="28">
        <v>193</v>
      </c>
      <c r="S198" s="28">
        <v>167</v>
      </c>
      <c r="T198" s="28">
        <v>139</v>
      </c>
      <c r="U198" s="28">
        <v>275</v>
      </c>
      <c r="V198" s="28">
        <f t="shared" si="37"/>
        <v>229</v>
      </c>
    </row>
    <row r="199" spans="1:22" ht="25.5" x14ac:dyDescent="0.2">
      <c r="A199" s="28" t="s">
        <v>155</v>
      </c>
      <c r="B199" s="28" t="s">
        <v>189</v>
      </c>
      <c r="C199" s="28">
        <v>2</v>
      </c>
      <c r="D199" s="28">
        <v>12</v>
      </c>
      <c r="E199" s="28">
        <v>2</v>
      </c>
      <c r="F199" s="28">
        <v>1</v>
      </c>
      <c r="G199" s="28">
        <v>0</v>
      </c>
      <c r="H199" s="28">
        <v>9</v>
      </c>
      <c r="I199" s="28">
        <v>10</v>
      </c>
      <c r="J199" s="28">
        <v>50</v>
      </c>
      <c r="K199" s="28">
        <v>7</v>
      </c>
      <c r="L199" s="28">
        <v>13</v>
      </c>
      <c r="M199" s="28">
        <v>3</v>
      </c>
      <c r="N199" s="28">
        <v>11</v>
      </c>
      <c r="O199" s="28">
        <v>0</v>
      </c>
      <c r="P199" s="28">
        <v>0</v>
      </c>
      <c r="Q199" s="28">
        <v>0</v>
      </c>
      <c r="R199" s="28">
        <v>0</v>
      </c>
      <c r="S199" s="28">
        <v>0</v>
      </c>
      <c r="T199" s="28">
        <v>0</v>
      </c>
      <c r="U199" s="28">
        <v>0</v>
      </c>
      <c r="V199" s="28">
        <f t="shared" si="37"/>
        <v>0</v>
      </c>
    </row>
    <row r="200" spans="1:22" ht="51" x14ac:dyDescent="0.2">
      <c r="A200" s="28" t="s">
        <v>155</v>
      </c>
      <c r="B200" s="28" t="s">
        <v>190</v>
      </c>
      <c r="C200" s="28">
        <v>0</v>
      </c>
      <c r="D200" s="28">
        <v>25</v>
      </c>
      <c r="E200" s="28">
        <v>15</v>
      </c>
      <c r="F200" s="28">
        <v>21</v>
      </c>
      <c r="G200" s="28">
        <v>54</v>
      </c>
      <c r="H200" s="28">
        <v>44</v>
      </c>
      <c r="I200" s="28">
        <v>78</v>
      </c>
      <c r="J200" s="28">
        <v>55</v>
      </c>
      <c r="K200" s="28">
        <v>51</v>
      </c>
      <c r="L200" s="28">
        <v>17</v>
      </c>
      <c r="M200" s="28">
        <v>111</v>
      </c>
      <c r="N200" s="28">
        <v>80</v>
      </c>
      <c r="O200" s="28">
        <v>97</v>
      </c>
      <c r="P200" s="28">
        <v>138</v>
      </c>
      <c r="Q200" s="28">
        <v>193</v>
      </c>
      <c r="R200" s="28">
        <v>195</v>
      </c>
      <c r="S200" s="28">
        <v>131</v>
      </c>
      <c r="T200" s="28">
        <v>188</v>
      </c>
      <c r="U200" s="28">
        <v>74</v>
      </c>
      <c r="V200" s="28">
        <f t="shared" si="37"/>
        <v>90</v>
      </c>
    </row>
    <row r="201" spans="1:22" ht="51" x14ac:dyDescent="0.2">
      <c r="A201" s="28" t="s">
        <v>155</v>
      </c>
      <c r="B201" s="28" t="s">
        <v>191</v>
      </c>
      <c r="C201" s="28">
        <v>852</v>
      </c>
      <c r="D201" s="28">
        <v>909</v>
      </c>
      <c r="E201" s="28">
        <v>1339</v>
      </c>
      <c r="F201" s="28">
        <v>1257</v>
      </c>
      <c r="G201" s="28">
        <v>1834</v>
      </c>
      <c r="H201" s="28">
        <v>1303</v>
      </c>
      <c r="I201" s="28">
        <v>925</v>
      </c>
      <c r="J201" s="28">
        <v>855</v>
      </c>
      <c r="K201" s="28">
        <v>1249</v>
      </c>
      <c r="L201" s="28">
        <v>702</v>
      </c>
      <c r="M201" s="28">
        <v>0</v>
      </c>
      <c r="N201" s="28">
        <v>0</v>
      </c>
      <c r="O201" s="28">
        <v>0</v>
      </c>
      <c r="P201" s="28">
        <v>0</v>
      </c>
      <c r="Q201" s="28">
        <v>0</v>
      </c>
      <c r="R201" s="28">
        <v>0</v>
      </c>
      <c r="S201" s="28">
        <v>0</v>
      </c>
      <c r="T201" s="28">
        <v>0</v>
      </c>
      <c r="U201" s="28">
        <v>0</v>
      </c>
      <c r="V201" s="28">
        <f t="shared" si="37"/>
        <v>0</v>
      </c>
    </row>
    <row r="202" spans="1:22" ht="38.25" x14ac:dyDescent="0.2">
      <c r="A202" s="28" t="s">
        <v>155</v>
      </c>
      <c r="B202" s="28" t="s">
        <v>192</v>
      </c>
      <c r="C202" s="28">
        <f t="shared" ref="C202:V202" si="38">SUM(C203:C209)</f>
        <v>1095</v>
      </c>
      <c r="D202" s="28">
        <f t="shared" si="38"/>
        <v>959</v>
      </c>
      <c r="E202" s="28">
        <f t="shared" si="38"/>
        <v>1268</v>
      </c>
      <c r="F202" s="28">
        <f t="shared" si="38"/>
        <v>1610</v>
      </c>
      <c r="G202" s="28">
        <f t="shared" si="38"/>
        <v>1812</v>
      </c>
      <c r="H202" s="28">
        <f t="shared" si="38"/>
        <v>2033</v>
      </c>
      <c r="I202" s="28">
        <f t="shared" si="38"/>
        <v>1941</v>
      </c>
      <c r="J202" s="28">
        <f t="shared" si="38"/>
        <v>2511</v>
      </c>
      <c r="K202" s="28">
        <f t="shared" si="38"/>
        <v>2574</v>
      </c>
      <c r="L202" s="28">
        <f t="shared" si="38"/>
        <v>2897</v>
      </c>
      <c r="M202" s="28">
        <f t="shared" si="38"/>
        <v>3231</v>
      </c>
      <c r="N202" s="28">
        <f t="shared" si="38"/>
        <v>3110</v>
      </c>
      <c r="O202" s="28">
        <f t="shared" si="38"/>
        <v>3431</v>
      </c>
      <c r="P202" s="28">
        <f t="shared" si="38"/>
        <v>2287</v>
      </c>
      <c r="Q202" s="28">
        <f t="shared" si="38"/>
        <v>2134</v>
      </c>
      <c r="R202" s="28">
        <f t="shared" si="38"/>
        <v>2150</v>
      </c>
      <c r="S202" s="28">
        <f t="shared" si="38"/>
        <v>2254</v>
      </c>
      <c r="T202" s="28">
        <f t="shared" si="38"/>
        <v>2602</v>
      </c>
      <c r="U202" s="28">
        <f t="shared" si="38"/>
        <v>3453</v>
      </c>
      <c r="V202" s="28">
        <f t="shared" si="38"/>
        <v>5514</v>
      </c>
    </row>
    <row r="203" spans="1:22" ht="38.25" x14ac:dyDescent="0.2">
      <c r="A203" s="28" t="s">
        <v>155</v>
      </c>
      <c r="B203" s="28" t="s">
        <v>193</v>
      </c>
      <c r="C203" s="28">
        <v>261</v>
      </c>
      <c r="D203" s="28">
        <v>255</v>
      </c>
      <c r="E203" s="28">
        <v>305</v>
      </c>
      <c r="F203" s="28">
        <v>264</v>
      </c>
      <c r="G203" s="28">
        <v>245</v>
      </c>
      <c r="H203" s="28">
        <v>258</v>
      </c>
      <c r="I203" s="28">
        <v>228</v>
      </c>
      <c r="J203" s="28">
        <v>204</v>
      </c>
      <c r="K203" s="28">
        <v>167</v>
      </c>
      <c r="L203" s="28">
        <v>312</v>
      </c>
      <c r="M203" s="28">
        <v>591</v>
      </c>
      <c r="N203" s="28">
        <v>750</v>
      </c>
      <c r="O203" s="28">
        <v>820</v>
      </c>
      <c r="P203" s="28">
        <v>891</v>
      </c>
      <c r="Q203" s="28">
        <v>1014</v>
      </c>
      <c r="R203" s="28">
        <v>1179</v>
      </c>
      <c r="S203" s="28">
        <v>1479</v>
      </c>
      <c r="T203" s="28">
        <v>1593</v>
      </c>
      <c r="U203" s="28">
        <f>1743-306</f>
        <v>1437</v>
      </c>
      <c r="V203" s="28">
        <f>U447</f>
        <v>1868</v>
      </c>
    </row>
    <row r="204" spans="1:22" ht="51" x14ac:dyDescent="0.2">
      <c r="A204" s="28" t="s">
        <v>155</v>
      </c>
      <c r="B204" s="28" t="s">
        <v>194</v>
      </c>
      <c r="C204" s="28">
        <v>0</v>
      </c>
      <c r="D204" s="28">
        <v>0</v>
      </c>
      <c r="E204" s="28">
        <v>0</v>
      </c>
      <c r="F204" s="28">
        <v>0</v>
      </c>
      <c r="G204" s="28">
        <v>0</v>
      </c>
      <c r="H204" s="28">
        <v>0</v>
      </c>
      <c r="I204" s="28">
        <v>0</v>
      </c>
      <c r="J204" s="28">
        <v>0</v>
      </c>
      <c r="K204" s="28">
        <v>0</v>
      </c>
      <c r="L204" s="28">
        <v>34</v>
      </c>
      <c r="M204" s="28">
        <v>105</v>
      </c>
      <c r="N204" s="28">
        <v>15</v>
      </c>
      <c r="O204" s="28">
        <v>31</v>
      </c>
      <c r="P204" s="28">
        <v>53</v>
      </c>
      <c r="Q204" s="28">
        <v>76</v>
      </c>
      <c r="R204" s="28">
        <v>114</v>
      </c>
      <c r="S204" s="28">
        <v>134</v>
      </c>
      <c r="T204" s="28">
        <v>239</v>
      </c>
      <c r="U204" s="28">
        <f>264+3</f>
        <v>267</v>
      </c>
      <c r="V204" s="28">
        <f>U448</f>
        <v>297</v>
      </c>
    </row>
    <row r="205" spans="1:22" ht="38.25" x14ac:dyDescent="0.2">
      <c r="A205" s="28" t="s">
        <v>155</v>
      </c>
      <c r="B205" s="28" t="s">
        <v>195</v>
      </c>
      <c r="C205" s="28">
        <v>245</v>
      </c>
      <c r="D205" s="28">
        <v>160</v>
      </c>
      <c r="E205" s="28">
        <v>159</v>
      </c>
      <c r="F205" s="28">
        <v>231</v>
      </c>
      <c r="G205" s="28">
        <v>316</v>
      </c>
      <c r="H205" s="28">
        <v>334</v>
      </c>
      <c r="I205" s="28">
        <v>257</v>
      </c>
      <c r="J205" s="28">
        <v>354</v>
      </c>
      <c r="K205" s="28">
        <v>448</v>
      </c>
      <c r="L205" s="28">
        <v>554</v>
      </c>
      <c r="M205" s="28">
        <v>645</v>
      </c>
      <c r="N205" s="28">
        <v>240</v>
      </c>
      <c r="O205" s="28">
        <v>234</v>
      </c>
      <c r="P205" s="28">
        <v>466</v>
      </c>
      <c r="Q205" s="28">
        <v>369</v>
      </c>
      <c r="R205" s="28">
        <v>475</v>
      </c>
      <c r="S205" s="28">
        <v>399</v>
      </c>
      <c r="T205" s="28">
        <v>539</v>
      </c>
      <c r="U205" s="28">
        <f>1487-15</f>
        <v>1472</v>
      </c>
      <c r="V205" s="28">
        <f t="shared" ref="V205:V214" si="39">U449</f>
        <v>2872</v>
      </c>
    </row>
    <row r="206" spans="1:22" ht="38.25" x14ac:dyDescent="0.2">
      <c r="A206" s="28" t="s">
        <v>155</v>
      </c>
      <c r="B206" s="28" t="s">
        <v>196</v>
      </c>
      <c r="C206" s="28">
        <v>414</v>
      </c>
      <c r="D206" s="28">
        <v>312</v>
      </c>
      <c r="E206" s="28">
        <v>416</v>
      </c>
      <c r="F206" s="28">
        <v>532</v>
      </c>
      <c r="G206" s="28">
        <v>775</v>
      </c>
      <c r="H206" s="28">
        <v>1091</v>
      </c>
      <c r="I206" s="28">
        <v>1207</v>
      </c>
      <c r="J206" s="28">
        <v>1662</v>
      </c>
      <c r="K206" s="28">
        <v>1671</v>
      </c>
      <c r="L206" s="28">
        <v>1598</v>
      </c>
      <c r="M206" s="28">
        <v>1371</v>
      </c>
      <c r="N206" s="28">
        <v>1420</v>
      </c>
      <c r="O206" s="28">
        <v>1567</v>
      </c>
      <c r="P206" s="28">
        <v>840</v>
      </c>
      <c r="Q206" s="28">
        <v>672</v>
      </c>
      <c r="R206" s="28">
        <v>375</v>
      </c>
      <c r="S206" s="28">
        <v>232</v>
      </c>
      <c r="T206" s="28">
        <v>212</v>
      </c>
      <c r="U206" s="28">
        <v>270</v>
      </c>
      <c r="V206" s="28">
        <f t="shared" si="39"/>
        <v>468</v>
      </c>
    </row>
    <row r="207" spans="1:22" ht="51" x14ac:dyDescent="0.2">
      <c r="A207" s="28" t="s">
        <v>155</v>
      </c>
      <c r="B207" s="28" t="s">
        <v>197</v>
      </c>
      <c r="C207" s="28">
        <v>0</v>
      </c>
      <c r="D207" s="28">
        <v>0</v>
      </c>
      <c r="E207" s="28">
        <v>0</v>
      </c>
      <c r="F207" s="28">
        <v>0</v>
      </c>
      <c r="G207" s="28">
        <v>0</v>
      </c>
      <c r="H207" s="28">
        <v>0</v>
      </c>
      <c r="I207" s="28">
        <v>0</v>
      </c>
      <c r="J207" s="28">
        <v>0</v>
      </c>
      <c r="K207" s="28">
        <v>0</v>
      </c>
      <c r="L207" s="28">
        <v>0</v>
      </c>
      <c r="M207" s="28">
        <v>0</v>
      </c>
      <c r="N207" s="28">
        <v>0</v>
      </c>
      <c r="O207" s="28">
        <v>0</v>
      </c>
      <c r="P207" s="28">
        <f>3+1</f>
        <v>4</v>
      </c>
      <c r="Q207" s="28">
        <v>3</v>
      </c>
      <c r="R207" s="28">
        <v>7</v>
      </c>
      <c r="S207" s="28">
        <v>10</v>
      </c>
      <c r="T207" s="28">
        <v>19</v>
      </c>
      <c r="U207" s="28">
        <v>7</v>
      </c>
      <c r="V207" s="28">
        <f t="shared" si="39"/>
        <v>9</v>
      </c>
    </row>
    <row r="208" spans="1:22" ht="38.25" x14ac:dyDescent="0.2">
      <c r="A208" s="28" t="s">
        <v>155</v>
      </c>
      <c r="B208" s="28" t="s">
        <v>198</v>
      </c>
      <c r="C208" s="28">
        <v>166</v>
      </c>
      <c r="D208" s="28">
        <v>194</v>
      </c>
      <c r="E208" s="28">
        <v>302</v>
      </c>
      <c r="F208" s="28">
        <v>451</v>
      </c>
      <c r="G208" s="28">
        <v>433</v>
      </c>
      <c r="H208" s="28">
        <v>317</v>
      </c>
      <c r="I208" s="28">
        <v>221</v>
      </c>
      <c r="J208" s="28">
        <v>266</v>
      </c>
      <c r="K208" s="28">
        <v>273</v>
      </c>
      <c r="L208" s="28">
        <v>374</v>
      </c>
      <c r="M208" s="28">
        <v>504</v>
      </c>
      <c r="N208" s="28">
        <v>661</v>
      </c>
      <c r="O208" s="28">
        <v>751</v>
      </c>
      <c r="P208" s="28">
        <v>33</v>
      </c>
      <c r="Q208" s="28">
        <v>0</v>
      </c>
      <c r="R208" s="28">
        <v>0</v>
      </c>
      <c r="S208" s="28">
        <v>0</v>
      </c>
      <c r="T208" s="28">
        <v>0</v>
      </c>
      <c r="U208" s="28">
        <v>0</v>
      </c>
      <c r="V208" s="28">
        <f t="shared" si="39"/>
        <v>0</v>
      </c>
    </row>
    <row r="209" spans="1:22" ht="38.25" x14ac:dyDescent="0.2">
      <c r="A209" s="28" t="s">
        <v>155</v>
      </c>
      <c r="B209" s="28" t="s">
        <v>199</v>
      </c>
      <c r="C209" s="28">
        <v>9</v>
      </c>
      <c r="D209" s="28">
        <v>38</v>
      </c>
      <c r="E209" s="28">
        <v>86</v>
      </c>
      <c r="F209" s="28">
        <v>132</v>
      </c>
      <c r="G209" s="28">
        <v>43</v>
      </c>
      <c r="H209" s="28">
        <v>33</v>
      </c>
      <c r="I209" s="28">
        <v>28</v>
      </c>
      <c r="J209" s="28">
        <v>25</v>
      </c>
      <c r="K209" s="28">
        <v>15</v>
      </c>
      <c r="L209" s="28">
        <v>25</v>
      </c>
      <c r="M209" s="28">
        <v>15</v>
      </c>
      <c r="N209" s="28">
        <v>24</v>
      </c>
      <c r="O209" s="28">
        <v>28</v>
      </c>
      <c r="P209" s="28">
        <v>0</v>
      </c>
      <c r="Q209" s="28">
        <v>0</v>
      </c>
      <c r="R209" s="28">
        <v>0</v>
      </c>
      <c r="S209" s="28">
        <v>0</v>
      </c>
      <c r="T209" s="28">
        <v>0</v>
      </c>
      <c r="U209" s="28">
        <v>0</v>
      </c>
      <c r="V209" s="28">
        <f t="shared" si="39"/>
        <v>0</v>
      </c>
    </row>
    <row r="210" spans="1:22" ht="25.5" x14ac:dyDescent="0.2">
      <c r="A210" s="28" t="s">
        <v>155</v>
      </c>
      <c r="B210" s="28" t="s">
        <v>200</v>
      </c>
      <c r="C210" s="28">
        <v>0</v>
      </c>
      <c r="D210" s="28">
        <v>0</v>
      </c>
      <c r="E210" s="28">
        <v>1461</v>
      </c>
      <c r="F210" s="28">
        <v>0</v>
      </c>
      <c r="G210" s="28">
        <v>0</v>
      </c>
      <c r="H210" s="28">
        <v>0</v>
      </c>
      <c r="I210" s="28">
        <v>0</v>
      </c>
      <c r="J210" s="28">
        <v>446</v>
      </c>
      <c r="K210" s="28">
        <v>0</v>
      </c>
      <c r="L210" s="28">
        <v>0</v>
      </c>
      <c r="M210" s="28">
        <v>0</v>
      </c>
      <c r="N210" s="28">
        <v>0</v>
      </c>
      <c r="O210" s="28">
        <v>0</v>
      </c>
      <c r="P210" s="28">
        <v>0</v>
      </c>
      <c r="Q210" s="28">
        <v>0</v>
      </c>
      <c r="R210" s="28">
        <v>0</v>
      </c>
      <c r="S210" s="28">
        <v>0</v>
      </c>
      <c r="T210" s="28">
        <v>0</v>
      </c>
      <c r="U210" s="28">
        <v>0</v>
      </c>
      <c r="V210" s="28">
        <f t="shared" si="39"/>
        <v>0</v>
      </c>
    </row>
    <row r="211" spans="1:22" ht="38.25" x14ac:dyDescent="0.2">
      <c r="A211" s="28" t="s">
        <v>155</v>
      </c>
      <c r="B211" s="28" t="s">
        <v>201</v>
      </c>
      <c r="C211" s="28">
        <v>6451</v>
      </c>
      <c r="D211" s="28">
        <v>4607</v>
      </c>
      <c r="E211" s="28">
        <v>5566</v>
      </c>
      <c r="F211" s="28">
        <v>5162</v>
      </c>
      <c r="G211" s="28">
        <v>8535</v>
      </c>
      <c r="H211" s="28">
        <v>7575</v>
      </c>
      <c r="I211" s="28">
        <v>7291</v>
      </c>
      <c r="J211" s="28">
        <v>7393</v>
      </c>
      <c r="K211" s="28">
        <v>7304</v>
      </c>
      <c r="L211" s="28">
        <v>7785</v>
      </c>
      <c r="M211" s="28">
        <v>5394</v>
      </c>
      <c r="N211" s="28">
        <v>4351</v>
      </c>
      <c r="O211" s="28">
        <v>4670</v>
      </c>
      <c r="P211" s="28">
        <v>5572</v>
      </c>
      <c r="Q211" s="28">
        <v>5519</v>
      </c>
      <c r="R211" s="28">
        <v>5083</v>
      </c>
      <c r="S211" s="28">
        <v>5509</v>
      </c>
      <c r="T211" s="28">
        <v>8137</v>
      </c>
      <c r="U211" s="28">
        <v>10735</v>
      </c>
      <c r="V211" s="28">
        <f t="shared" si="39"/>
        <v>6740</v>
      </c>
    </row>
    <row r="212" spans="1:22" ht="38.25" x14ac:dyDescent="0.2">
      <c r="A212" s="28" t="s">
        <v>155</v>
      </c>
      <c r="B212" s="28" t="s">
        <v>202</v>
      </c>
      <c r="C212" s="28">
        <v>63269</v>
      </c>
      <c r="D212" s="28">
        <v>63269</v>
      </c>
      <c r="E212" s="28">
        <v>63269</v>
      </c>
      <c r="F212" s="28">
        <v>72508</v>
      </c>
      <c r="G212" s="28">
        <v>79730</v>
      </c>
      <c r="H212" s="28">
        <v>76799</v>
      </c>
      <c r="I212" s="28">
        <v>79304</v>
      </c>
      <c r="J212" s="28">
        <v>79922</v>
      </c>
      <c r="K212" s="28">
        <v>65467</v>
      </c>
      <c r="L212" s="28">
        <v>73373</v>
      </c>
      <c r="M212" s="28">
        <v>81386</v>
      </c>
      <c r="N212" s="28">
        <v>93649</v>
      </c>
      <c r="O212" s="28">
        <v>110167</v>
      </c>
      <c r="P212" s="28">
        <v>118085</v>
      </c>
      <c r="Q212" s="28">
        <v>120248</v>
      </c>
      <c r="R212" s="28">
        <v>127816</v>
      </c>
      <c r="S212" s="28">
        <v>122912</v>
      </c>
      <c r="T212" s="28">
        <v>116342</v>
      </c>
      <c r="U212" s="28">
        <v>112522</v>
      </c>
      <c r="V212" s="28">
        <f t="shared" si="39"/>
        <v>108607</v>
      </c>
    </row>
    <row r="213" spans="1:22" ht="38.25" x14ac:dyDescent="0.2">
      <c r="A213" s="28" t="s">
        <v>155</v>
      </c>
      <c r="B213" s="28" t="s">
        <v>203</v>
      </c>
      <c r="C213" s="28">
        <v>0</v>
      </c>
      <c r="D213" s="28">
        <v>0</v>
      </c>
      <c r="E213" s="28">
        <v>0</v>
      </c>
      <c r="F213" s="28">
        <v>0</v>
      </c>
      <c r="G213" s="28">
        <v>0</v>
      </c>
      <c r="H213" s="28">
        <v>0</v>
      </c>
      <c r="I213" s="28">
        <v>0</v>
      </c>
      <c r="J213" s="28">
        <v>0</v>
      </c>
      <c r="K213" s="28">
        <v>0</v>
      </c>
      <c r="L213" s="28">
        <v>0</v>
      </c>
      <c r="M213" s="28">
        <v>0</v>
      </c>
      <c r="N213" s="28">
        <v>0</v>
      </c>
      <c r="O213" s="28">
        <v>0</v>
      </c>
      <c r="P213" s="28">
        <v>0</v>
      </c>
      <c r="Q213" s="28">
        <v>0</v>
      </c>
      <c r="R213" s="28">
        <v>0</v>
      </c>
      <c r="S213" s="28">
        <v>0</v>
      </c>
      <c r="T213" s="28">
        <v>0</v>
      </c>
      <c r="U213" s="28">
        <v>6411</v>
      </c>
      <c r="V213" s="28">
        <f t="shared" si="39"/>
        <v>18729</v>
      </c>
    </row>
    <row r="214" spans="1:22" ht="63.75" x14ac:dyDescent="0.2">
      <c r="A214" s="28" t="s">
        <v>155</v>
      </c>
      <c r="B214" s="28" t="s">
        <v>204</v>
      </c>
      <c r="C214" s="28">
        <v>0</v>
      </c>
      <c r="D214" s="28">
        <v>0</v>
      </c>
      <c r="E214" s="28">
        <v>0</v>
      </c>
      <c r="F214" s="28">
        <v>0</v>
      </c>
      <c r="G214" s="28">
        <v>0</v>
      </c>
      <c r="H214" s="28">
        <v>0</v>
      </c>
      <c r="I214" s="28">
        <v>0</v>
      </c>
      <c r="J214" s="28">
        <v>0</v>
      </c>
      <c r="K214" s="28">
        <v>0</v>
      </c>
      <c r="L214" s="28">
        <v>0</v>
      </c>
      <c r="M214" s="28">
        <v>0</v>
      </c>
      <c r="N214" s="28">
        <f>4189-4189</f>
        <v>0</v>
      </c>
      <c r="O214" s="28">
        <f>2517-5</f>
        <v>2512</v>
      </c>
      <c r="P214" s="28">
        <v>3409</v>
      </c>
      <c r="Q214" s="28">
        <v>4021</v>
      </c>
      <c r="R214" s="28">
        <f>4521-153</f>
        <v>4368</v>
      </c>
      <c r="S214" s="28">
        <f>5153+176</f>
        <v>5329</v>
      </c>
      <c r="T214" s="28">
        <v>7484</v>
      </c>
      <c r="U214" s="28">
        <f>7127-212</f>
        <v>6915</v>
      </c>
      <c r="V214" s="28">
        <f t="shared" si="39"/>
        <v>6973</v>
      </c>
    </row>
    <row r="215" spans="1:22" ht="63.75" x14ac:dyDescent="0.2">
      <c r="A215" s="28" t="s">
        <v>205</v>
      </c>
      <c r="B215" s="28" t="s">
        <v>206</v>
      </c>
      <c r="C215" s="28">
        <f t="shared" ref="C215:V215" si="40">C219+C231+C235+C238+C240+C260+C261+C262+C263+C264+C252</f>
        <v>982471</v>
      </c>
      <c r="D215" s="28">
        <f t="shared" si="40"/>
        <v>1122859</v>
      </c>
      <c r="E215" s="28">
        <f t="shared" si="40"/>
        <v>1235697</v>
      </c>
      <c r="F215" s="28">
        <f t="shared" si="40"/>
        <v>1182201</v>
      </c>
      <c r="G215" s="28">
        <f t="shared" si="40"/>
        <v>1243077</v>
      </c>
      <c r="H215" s="28">
        <f t="shared" si="40"/>
        <v>841490</v>
      </c>
      <c r="I215" s="28">
        <f t="shared" si="40"/>
        <v>826971</v>
      </c>
      <c r="J215" s="28">
        <f t="shared" si="40"/>
        <v>882824</v>
      </c>
      <c r="K215" s="28">
        <f t="shared" si="40"/>
        <v>969480</v>
      </c>
      <c r="L215" s="28">
        <f t="shared" si="40"/>
        <v>1128051</v>
      </c>
      <c r="M215" s="28">
        <f t="shared" si="40"/>
        <v>1114972</v>
      </c>
      <c r="N215" s="28">
        <f t="shared" si="40"/>
        <v>1155320</v>
      </c>
      <c r="O215" s="28">
        <f t="shared" si="40"/>
        <v>1015165</v>
      </c>
      <c r="P215" s="28">
        <f t="shared" si="40"/>
        <v>1028541</v>
      </c>
      <c r="Q215" s="28">
        <f t="shared" si="40"/>
        <v>1031468</v>
      </c>
      <c r="R215" s="28">
        <f t="shared" si="40"/>
        <v>1027644</v>
      </c>
      <c r="S215" s="28">
        <f t="shared" si="40"/>
        <v>1050660</v>
      </c>
      <c r="T215" s="28">
        <f t="shared" si="40"/>
        <v>1088599</v>
      </c>
      <c r="U215" s="28">
        <f t="shared" si="40"/>
        <v>1157871</v>
      </c>
      <c r="V215" s="28">
        <f t="shared" si="40"/>
        <v>1242153</v>
      </c>
    </row>
    <row r="216" spans="1:22" ht="49.5" x14ac:dyDescent="0.2">
      <c r="A216" s="28" t="s">
        <v>205</v>
      </c>
      <c r="B216" s="28" t="s">
        <v>207</v>
      </c>
      <c r="C216" s="28">
        <f t="shared" ref="C216:V216" si="41">C219+C234+C237+C238+C542</f>
        <v>799070</v>
      </c>
      <c r="D216" s="28">
        <f t="shared" si="41"/>
        <v>936001</v>
      </c>
      <c r="E216" s="28">
        <f t="shared" si="41"/>
        <v>998257</v>
      </c>
      <c r="F216" s="28">
        <f t="shared" si="41"/>
        <v>928564</v>
      </c>
      <c r="G216" s="28">
        <f t="shared" si="41"/>
        <v>955125</v>
      </c>
      <c r="H216" s="28">
        <f t="shared" si="41"/>
        <v>555001</v>
      </c>
      <c r="I216" s="28">
        <f t="shared" si="41"/>
        <v>537577</v>
      </c>
      <c r="J216" s="28">
        <f t="shared" si="41"/>
        <v>584447</v>
      </c>
      <c r="K216" s="28">
        <f t="shared" si="41"/>
        <v>618949</v>
      </c>
      <c r="L216" s="28">
        <f t="shared" si="41"/>
        <v>704130</v>
      </c>
      <c r="M216" s="28">
        <f t="shared" si="41"/>
        <v>689136</v>
      </c>
      <c r="N216" s="28">
        <f t="shared" si="41"/>
        <v>690602</v>
      </c>
      <c r="O216" s="28">
        <f t="shared" si="41"/>
        <v>622152</v>
      </c>
      <c r="P216" s="28">
        <f t="shared" si="41"/>
        <v>629757</v>
      </c>
      <c r="Q216" s="28">
        <f t="shared" si="41"/>
        <v>644872</v>
      </c>
      <c r="R216" s="28">
        <f t="shared" si="41"/>
        <v>637954</v>
      </c>
      <c r="S216" s="28">
        <f t="shared" si="41"/>
        <v>666175</v>
      </c>
      <c r="T216" s="28">
        <f t="shared" si="41"/>
        <v>700590</v>
      </c>
      <c r="U216" s="28">
        <f t="shared" si="41"/>
        <v>755411</v>
      </c>
      <c r="V216" s="28">
        <f t="shared" si="41"/>
        <v>790678</v>
      </c>
    </row>
    <row r="217" spans="1:22" ht="49.5" x14ac:dyDescent="0.2">
      <c r="A217" s="28" t="s">
        <v>205</v>
      </c>
      <c r="B217" s="28" t="s">
        <v>208</v>
      </c>
      <c r="C217" s="28">
        <f>C219+C231-C234+C236+C238</f>
        <v>757612</v>
      </c>
      <c r="D217" s="28">
        <f t="shared" ref="D217:V217" si="42">D219+D231-D234+D236+D238</f>
        <v>892632</v>
      </c>
      <c r="E217" s="28">
        <f t="shared" si="42"/>
        <v>956423</v>
      </c>
      <c r="F217" s="28">
        <f t="shared" si="42"/>
        <v>878800</v>
      </c>
      <c r="G217" s="28">
        <f t="shared" si="42"/>
        <v>926060</v>
      </c>
      <c r="H217" s="28">
        <f t="shared" si="42"/>
        <v>528475</v>
      </c>
      <c r="I217" s="28">
        <f t="shared" si="42"/>
        <v>513686</v>
      </c>
      <c r="J217" s="28">
        <f t="shared" si="42"/>
        <v>553239</v>
      </c>
      <c r="K217" s="28">
        <f t="shared" si="42"/>
        <v>582778</v>
      </c>
      <c r="L217" s="28">
        <f t="shared" si="42"/>
        <v>652445</v>
      </c>
      <c r="M217" s="28">
        <f t="shared" si="42"/>
        <v>638350</v>
      </c>
      <c r="N217" s="28">
        <f t="shared" si="42"/>
        <v>684325</v>
      </c>
      <c r="O217" s="28">
        <f t="shared" si="42"/>
        <v>614530</v>
      </c>
      <c r="P217" s="28">
        <f t="shared" si="42"/>
        <v>597485</v>
      </c>
      <c r="Q217" s="28">
        <f t="shared" si="42"/>
        <v>593960</v>
      </c>
      <c r="R217" s="28">
        <f t="shared" si="42"/>
        <v>596549</v>
      </c>
      <c r="S217" s="28">
        <f t="shared" si="42"/>
        <v>616278</v>
      </c>
      <c r="T217" s="28">
        <f t="shared" si="42"/>
        <v>642110</v>
      </c>
      <c r="U217" s="28">
        <f t="shared" si="42"/>
        <v>686677</v>
      </c>
      <c r="V217" s="28">
        <f t="shared" si="42"/>
        <v>723189</v>
      </c>
    </row>
    <row r="218" spans="1:22" ht="61.5" x14ac:dyDescent="0.2">
      <c r="A218" s="28" t="s">
        <v>205</v>
      </c>
      <c r="B218" s="28" t="s">
        <v>209</v>
      </c>
      <c r="C218" s="28">
        <f>C219+C231+C235+C238</f>
        <v>878812</v>
      </c>
      <c r="D218" s="28">
        <f t="shared" ref="D218:V218" si="43">D219+D231+D235</f>
        <v>1007340</v>
      </c>
      <c r="E218" s="28">
        <f t="shared" si="43"/>
        <v>1073285</v>
      </c>
      <c r="F218" s="28">
        <f t="shared" si="43"/>
        <v>1010591</v>
      </c>
      <c r="G218" s="28">
        <f t="shared" si="43"/>
        <v>1065428</v>
      </c>
      <c r="H218" s="28">
        <f t="shared" si="43"/>
        <v>665267</v>
      </c>
      <c r="I218" s="28">
        <f t="shared" si="43"/>
        <v>650382</v>
      </c>
      <c r="J218" s="28">
        <f t="shared" si="43"/>
        <v>703646</v>
      </c>
      <c r="K218" s="28">
        <f t="shared" si="43"/>
        <v>764300</v>
      </c>
      <c r="L218" s="28">
        <f t="shared" si="43"/>
        <v>894336</v>
      </c>
      <c r="M218" s="28">
        <f t="shared" si="43"/>
        <v>886582</v>
      </c>
      <c r="N218" s="28">
        <f t="shared" si="43"/>
        <v>919035</v>
      </c>
      <c r="O218" s="28">
        <f t="shared" si="43"/>
        <v>766565</v>
      </c>
      <c r="P218" s="28">
        <f t="shared" si="43"/>
        <v>766465</v>
      </c>
      <c r="Q218" s="28">
        <f t="shared" si="43"/>
        <v>767190</v>
      </c>
      <c r="R218" s="28">
        <f t="shared" si="43"/>
        <v>757166</v>
      </c>
      <c r="S218" s="28">
        <f t="shared" si="43"/>
        <v>774880</v>
      </c>
      <c r="T218" s="28">
        <f t="shared" si="43"/>
        <v>802746</v>
      </c>
      <c r="U218" s="28">
        <f t="shared" si="43"/>
        <v>860401</v>
      </c>
      <c r="V218" s="28">
        <f t="shared" si="43"/>
        <v>919224</v>
      </c>
    </row>
    <row r="219" spans="1:22" ht="51" x14ac:dyDescent="0.2">
      <c r="A219" s="28" t="s">
        <v>205</v>
      </c>
      <c r="B219" s="28" t="s">
        <v>210</v>
      </c>
      <c r="C219" s="28">
        <f>SUM(C220:C230)+C265</f>
        <v>666361</v>
      </c>
      <c r="D219" s="28">
        <f>SUM(D220:D230)+D265</f>
        <v>795206</v>
      </c>
      <c r="E219" s="28">
        <f>SUM(E220:E230)+E265</f>
        <v>853900</v>
      </c>
      <c r="F219" s="28">
        <f>SUM(F220:F230)+F265</f>
        <v>769527</v>
      </c>
      <c r="G219" s="28">
        <f t="shared" ref="G219:V219" si="44">SUM(G220:G230)</f>
        <v>788336</v>
      </c>
      <c r="H219" s="28">
        <f t="shared" si="44"/>
        <v>384372</v>
      </c>
      <c r="I219" s="28">
        <f t="shared" si="44"/>
        <v>368349</v>
      </c>
      <c r="J219" s="28">
        <f t="shared" si="44"/>
        <v>399629</v>
      </c>
      <c r="K219" s="28">
        <f t="shared" si="44"/>
        <v>400955</v>
      </c>
      <c r="L219" s="28">
        <f t="shared" si="44"/>
        <v>424085</v>
      </c>
      <c r="M219" s="28">
        <f t="shared" si="44"/>
        <v>405104</v>
      </c>
      <c r="N219" s="28">
        <f t="shared" si="44"/>
        <v>422877</v>
      </c>
      <c r="O219" s="28">
        <f t="shared" si="44"/>
        <v>435696</v>
      </c>
      <c r="P219" s="28">
        <f t="shared" si="44"/>
        <v>429855</v>
      </c>
      <c r="Q219" s="28">
        <f t="shared" si="44"/>
        <v>432349</v>
      </c>
      <c r="R219" s="28">
        <f t="shared" si="44"/>
        <v>439465</v>
      </c>
      <c r="S219" s="28">
        <f t="shared" si="44"/>
        <v>470995</v>
      </c>
      <c r="T219" s="28">
        <f t="shared" si="44"/>
        <v>499411</v>
      </c>
      <c r="U219" s="28">
        <f t="shared" si="44"/>
        <v>540148</v>
      </c>
      <c r="V219" s="28">
        <f t="shared" si="44"/>
        <v>546148</v>
      </c>
    </row>
    <row r="220" spans="1:22" ht="38.25" x14ac:dyDescent="0.2">
      <c r="A220" s="28" t="s">
        <v>205</v>
      </c>
      <c r="B220" s="28" t="s">
        <v>211</v>
      </c>
      <c r="C220" s="28">
        <v>76349</v>
      </c>
      <c r="D220" s="28">
        <v>72797</v>
      </c>
      <c r="E220" s="28">
        <v>73868</v>
      </c>
      <c r="F220" s="28">
        <v>74786</v>
      </c>
      <c r="G220" s="28">
        <v>78287</v>
      </c>
      <c r="H220" s="28">
        <v>74659</v>
      </c>
      <c r="I220" s="28">
        <v>83300</v>
      </c>
      <c r="J220" s="28">
        <v>98789</v>
      </c>
      <c r="K220" s="28">
        <v>108849</v>
      </c>
      <c r="L220" s="28">
        <v>144595</v>
      </c>
      <c r="M220" s="28">
        <v>143759</v>
      </c>
      <c r="N220" s="28">
        <v>58286</v>
      </c>
      <c r="O220" s="28">
        <v>35903</v>
      </c>
      <c r="P220" s="28">
        <v>16691</v>
      </c>
      <c r="Q220" s="28">
        <v>16740</v>
      </c>
      <c r="R220" s="28">
        <v>16503</v>
      </c>
      <c r="S220" s="28">
        <v>16645</v>
      </c>
      <c r="T220" s="28">
        <v>16819</v>
      </c>
      <c r="U220" s="28">
        <v>20261</v>
      </c>
      <c r="V220" s="28">
        <v>16162</v>
      </c>
    </row>
    <row r="221" spans="1:22" ht="38.25" x14ac:dyDescent="0.2">
      <c r="A221" s="28" t="s">
        <v>205</v>
      </c>
      <c r="B221" s="28" t="s">
        <v>212</v>
      </c>
      <c r="C221" s="28">
        <v>0</v>
      </c>
      <c r="D221" s="28">
        <v>0</v>
      </c>
      <c r="E221" s="28">
        <v>0</v>
      </c>
      <c r="F221" s="28">
        <v>0</v>
      </c>
      <c r="G221" s="28">
        <v>0</v>
      </c>
      <c r="H221" s="28">
        <v>0</v>
      </c>
      <c r="I221" s="28">
        <v>0</v>
      </c>
      <c r="J221" s="28">
        <v>0</v>
      </c>
      <c r="K221" s="28"/>
      <c r="L221" s="28">
        <v>0</v>
      </c>
      <c r="M221" s="28">
        <v>0</v>
      </c>
      <c r="N221" s="28">
        <v>113086</v>
      </c>
      <c r="O221" s="28">
        <v>140710</v>
      </c>
      <c r="P221" s="28">
        <v>148356</v>
      </c>
      <c r="Q221" s="28">
        <v>143209</v>
      </c>
      <c r="R221" s="28">
        <v>133766</v>
      </c>
      <c r="S221" s="28">
        <v>164522</v>
      </c>
      <c r="T221" s="28">
        <v>199706</v>
      </c>
      <c r="U221" s="28">
        <v>244251</v>
      </c>
      <c r="V221" s="28">
        <v>237736</v>
      </c>
    </row>
    <row r="222" spans="1:22" ht="38.25" x14ac:dyDescent="0.2">
      <c r="A222" s="28" t="s">
        <v>205</v>
      </c>
      <c r="B222" s="28" t="s">
        <v>213</v>
      </c>
      <c r="C222" s="28">
        <v>0</v>
      </c>
      <c r="D222" s="28">
        <v>3040</v>
      </c>
      <c r="E222" s="28">
        <v>3028</v>
      </c>
      <c r="F222" s="28">
        <v>3007</v>
      </c>
      <c r="G222" s="28">
        <v>3027</v>
      </c>
      <c r="H222" s="28">
        <v>3092</v>
      </c>
      <c r="I222" s="28">
        <v>3343</v>
      </c>
      <c r="J222" s="28">
        <v>3131</v>
      </c>
      <c r="K222" s="28">
        <v>3680</v>
      </c>
      <c r="L222" s="28">
        <v>3808</v>
      </c>
      <c r="M222" s="28">
        <v>3200</v>
      </c>
      <c r="N222" s="28">
        <v>3029</v>
      </c>
      <c r="O222" s="28">
        <v>2952</v>
      </c>
      <c r="P222" s="28">
        <v>3175</v>
      </c>
      <c r="Q222" s="28">
        <v>3181</v>
      </c>
      <c r="R222" s="28">
        <v>3275</v>
      </c>
      <c r="S222" s="28">
        <v>3058</v>
      </c>
      <c r="T222" s="28">
        <v>2716</v>
      </c>
      <c r="U222" s="28">
        <v>2922</v>
      </c>
      <c r="V222" s="28">
        <v>3407</v>
      </c>
    </row>
    <row r="223" spans="1:22" ht="38.25" x14ac:dyDescent="0.2">
      <c r="A223" s="28" t="s">
        <v>205</v>
      </c>
      <c r="B223" s="28" t="s">
        <v>214</v>
      </c>
      <c r="C223" s="28">
        <v>19028</v>
      </c>
      <c r="D223" s="28">
        <v>21103</v>
      </c>
      <c r="E223" s="28">
        <v>22173</v>
      </c>
      <c r="F223" s="28">
        <v>22596</v>
      </c>
      <c r="G223" s="28">
        <v>23754</v>
      </c>
      <c r="H223" s="28">
        <v>24266</v>
      </c>
      <c r="I223" s="28">
        <v>24476</v>
      </c>
      <c r="J223" s="28">
        <v>25762</v>
      </c>
      <c r="K223" s="28">
        <v>25550</v>
      </c>
      <c r="L223" s="28">
        <v>26621</v>
      </c>
      <c r="M223" s="28">
        <v>26842</v>
      </c>
      <c r="N223" s="28">
        <v>26709</v>
      </c>
      <c r="O223" s="28">
        <v>27411</v>
      </c>
      <c r="P223" s="28">
        <v>27996</v>
      </c>
      <c r="Q223" s="28">
        <v>28110</v>
      </c>
      <c r="R223" s="28">
        <v>29884</v>
      </c>
      <c r="S223" s="28">
        <v>29922</v>
      </c>
      <c r="T223" s="28">
        <v>29714</v>
      </c>
      <c r="U223" s="28">
        <v>28577</v>
      </c>
      <c r="V223" s="28">
        <v>31300</v>
      </c>
    </row>
    <row r="224" spans="1:22" ht="63.75" x14ac:dyDescent="0.2">
      <c r="A224" s="28" t="s">
        <v>205</v>
      </c>
      <c r="B224" s="28" t="s">
        <v>215</v>
      </c>
      <c r="C224" s="28">
        <v>22861</v>
      </c>
      <c r="D224" s="28">
        <v>22728</v>
      </c>
      <c r="E224" s="28">
        <v>22929</v>
      </c>
      <c r="F224" s="28">
        <v>23032</v>
      </c>
      <c r="G224" s="28">
        <v>24117</v>
      </c>
      <c r="H224" s="28">
        <v>26755</v>
      </c>
      <c r="I224" s="28">
        <v>31182</v>
      </c>
      <c r="J224" s="28">
        <v>34612</v>
      </c>
      <c r="K224" s="28">
        <v>14628</v>
      </c>
      <c r="L224" s="28">
        <v>5303</v>
      </c>
      <c r="M224" s="28">
        <v>6599</v>
      </c>
      <c r="N224" s="28">
        <v>9006</v>
      </c>
      <c r="O224" s="28">
        <v>8330</v>
      </c>
      <c r="P224" s="28">
        <v>10128</v>
      </c>
      <c r="Q224" s="28">
        <v>13953</v>
      </c>
      <c r="R224" s="28">
        <v>12742</v>
      </c>
      <c r="S224" s="28">
        <v>14758</v>
      </c>
      <c r="T224" s="28">
        <v>14508</v>
      </c>
      <c r="U224" s="28">
        <v>13632</v>
      </c>
      <c r="V224" s="28">
        <v>10383</v>
      </c>
    </row>
    <row r="225" spans="1:22" ht="38.25" x14ac:dyDescent="0.2">
      <c r="A225" s="28" t="s">
        <v>205</v>
      </c>
      <c r="B225" s="28" t="s">
        <v>216</v>
      </c>
      <c r="C225" s="28">
        <v>24188</v>
      </c>
      <c r="D225" s="28">
        <v>21257</v>
      </c>
      <c r="E225" s="28">
        <v>19951</v>
      </c>
      <c r="F225" s="28">
        <v>20398</v>
      </c>
      <c r="G225" s="28">
        <v>20454</v>
      </c>
      <c r="H225" s="28">
        <v>19586</v>
      </c>
      <c r="I225" s="28">
        <v>20796</v>
      </c>
      <c r="J225" s="28">
        <v>21115</v>
      </c>
      <c r="K225" s="28">
        <v>21987</v>
      </c>
      <c r="L225" s="28">
        <v>26595</v>
      </c>
      <c r="M225" s="28">
        <v>27261</v>
      </c>
      <c r="N225" s="28">
        <v>30533</v>
      </c>
      <c r="O225" s="28">
        <v>28962</v>
      </c>
      <c r="P225" s="28">
        <v>30361</v>
      </c>
      <c r="Q225" s="28">
        <v>31019</v>
      </c>
      <c r="R225" s="28">
        <v>34317</v>
      </c>
      <c r="S225" s="28">
        <v>31450</v>
      </c>
      <c r="T225" s="28">
        <v>31752</v>
      </c>
      <c r="U225" s="28">
        <v>31845</v>
      </c>
      <c r="V225" s="28">
        <v>30852</v>
      </c>
    </row>
    <row r="226" spans="1:22" ht="51" x14ac:dyDescent="0.2">
      <c r="A226" s="28" t="s">
        <v>205</v>
      </c>
      <c r="B226" s="28" t="s">
        <v>217</v>
      </c>
      <c r="C226" s="28">
        <v>53304</v>
      </c>
      <c r="D226" s="28">
        <v>50747</v>
      </c>
      <c r="E226" s="28">
        <v>48087</v>
      </c>
      <c r="F226" s="28">
        <v>46812</v>
      </c>
      <c r="G226" s="28">
        <v>50845</v>
      </c>
      <c r="H226" s="28">
        <v>49240</v>
      </c>
      <c r="I226" s="28">
        <v>47386</v>
      </c>
      <c r="J226" s="28">
        <v>47729</v>
      </c>
      <c r="K226" s="28">
        <v>52801</v>
      </c>
      <c r="L226" s="28">
        <v>52075</v>
      </c>
      <c r="M226" s="28">
        <v>50317</v>
      </c>
      <c r="N226" s="28">
        <v>48138</v>
      </c>
      <c r="O226" s="28">
        <v>48756</v>
      </c>
      <c r="P226" s="28">
        <v>45299</v>
      </c>
      <c r="Q226" s="28">
        <v>42503</v>
      </c>
      <c r="R226" s="28">
        <v>41290</v>
      </c>
      <c r="S226" s="28">
        <v>39356</v>
      </c>
      <c r="T226" s="28">
        <v>35718</v>
      </c>
      <c r="U226" s="28">
        <v>35934</v>
      </c>
      <c r="V226" s="28">
        <v>40833</v>
      </c>
    </row>
    <row r="227" spans="1:22" ht="38.25" x14ac:dyDescent="0.2">
      <c r="A227" s="28" t="s">
        <v>205</v>
      </c>
      <c r="B227" s="28" t="s">
        <v>218</v>
      </c>
      <c r="C227" s="28">
        <v>419545</v>
      </c>
      <c r="D227" s="28">
        <v>537540</v>
      </c>
      <c r="E227" s="28">
        <v>594417</v>
      </c>
      <c r="F227" s="28">
        <v>507889</v>
      </c>
      <c r="G227" s="28">
        <v>515037</v>
      </c>
      <c r="H227" s="28">
        <v>114348</v>
      </c>
      <c r="I227" s="28">
        <v>86953</v>
      </c>
      <c r="J227" s="28">
        <v>98361</v>
      </c>
      <c r="K227" s="28">
        <v>101114</v>
      </c>
      <c r="L227" s="28">
        <v>83168</v>
      </c>
      <c r="M227" s="28">
        <v>67937</v>
      </c>
      <c r="N227" s="28">
        <v>54834</v>
      </c>
      <c r="O227" s="28">
        <v>59312</v>
      </c>
      <c r="P227" s="28">
        <v>62144</v>
      </c>
      <c r="Q227" s="28">
        <v>66447</v>
      </c>
      <c r="R227" s="28">
        <v>77236</v>
      </c>
      <c r="S227" s="28">
        <v>81515</v>
      </c>
      <c r="T227" s="28">
        <v>81574</v>
      </c>
      <c r="U227" s="28">
        <v>74878</v>
      </c>
      <c r="V227" s="28">
        <v>79876</v>
      </c>
    </row>
    <row r="228" spans="1:22" ht="51" x14ac:dyDescent="0.2">
      <c r="A228" s="28" t="s">
        <v>205</v>
      </c>
      <c r="B228" s="28" t="s">
        <v>219</v>
      </c>
      <c r="C228" s="28">
        <v>17509</v>
      </c>
      <c r="D228" s="28">
        <v>20261</v>
      </c>
      <c r="E228" s="28">
        <v>21712</v>
      </c>
      <c r="F228" s="28">
        <v>22297</v>
      </c>
      <c r="G228" s="28">
        <v>23422</v>
      </c>
      <c r="H228" s="28">
        <v>23827</v>
      </c>
      <c r="I228" s="28">
        <v>23499</v>
      </c>
      <c r="J228" s="28">
        <v>23505</v>
      </c>
      <c r="K228" s="28">
        <v>24996</v>
      </c>
      <c r="L228" s="28">
        <v>28328</v>
      </c>
      <c r="M228" s="28">
        <v>28317</v>
      </c>
      <c r="N228" s="28">
        <v>30366</v>
      </c>
      <c r="O228" s="28">
        <v>34184</v>
      </c>
      <c r="P228" s="28">
        <v>37832</v>
      </c>
      <c r="Q228" s="28">
        <v>38202</v>
      </c>
      <c r="R228" s="28">
        <v>41038</v>
      </c>
      <c r="S228" s="28">
        <v>40001</v>
      </c>
      <c r="T228" s="28">
        <v>39116</v>
      </c>
      <c r="U228" s="28">
        <v>37563</v>
      </c>
      <c r="V228" s="28">
        <v>42301</v>
      </c>
    </row>
    <row r="229" spans="1:22" ht="51" x14ac:dyDescent="0.2">
      <c r="A229" s="28" t="s">
        <v>205</v>
      </c>
      <c r="B229" s="28" t="s">
        <v>220</v>
      </c>
      <c r="C229" s="28">
        <v>32643</v>
      </c>
      <c r="D229" s="28">
        <v>43929</v>
      </c>
      <c r="E229" s="28">
        <v>46012</v>
      </c>
      <c r="F229" s="28">
        <v>47086</v>
      </c>
      <c r="G229" s="28">
        <v>48073</v>
      </c>
      <c r="H229" s="28">
        <v>47396</v>
      </c>
      <c r="I229" s="28">
        <v>46213</v>
      </c>
      <c r="J229" s="28">
        <v>44914</v>
      </c>
      <c r="K229" s="28">
        <v>46012</v>
      </c>
      <c r="L229" s="28">
        <v>52104</v>
      </c>
      <c r="M229" s="28">
        <v>49784</v>
      </c>
      <c r="N229" s="28">
        <v>47785</v>
      </c>
      <c r="O229" s="28">
        <v>48152</v>
      </c>
      <c r="P229" s="28">
        <v>46959</v>
      </c>
      <c r="Q229" s="28">
        <v>47957</v>
      </c>
      <c r="R229" s="28">
        <v>48485</v>
      </c>
      <c r="S229" s="28">
        <v>48607</v>
      </c>
      <c r="T229" s="28">
        <v>46675</v>
      </c>
      <c r="U229" s="28">
        <v>49079</v>
      </c>
      <c r="V229" s="28">
        <v>51783</v>
      </c>
    </row>
    <row r="230" spans="1:22" ht="38.25" x14ac:dyDescent="0.2">
      <c r="A230" s="28" t="s">
        <v>205</v>
      </c>
      <c r="B230" s="28" t="s">
        <v>221</v>
      </c>
      <c r="C230" s="28">
        <v>934</v>
      </c>
      <c r="D230" s="28">
        <v>1804</v>
      </c>
      <c r="E230" s="28">
        <v>1723</v>
      </c>
      <c r="F230" s="28">
        <v>1624</v>
      </c>
      <c r="G230" s="28">
        <v>1320</v>
      </c>
      <c r="H230" s="28">
        <v>1203</v>
      </c>
      <c r="I230" s="28">
        <v>1201</v>
      </c>
      <c r="J230" s="28">
        <v>1711</v>
      </c>
      <c r="K230" s="28">
        <v>1338</v>
      </c>
      <c r="L230" s="28">
        <v>1488</v>
      </c>
      <c r="M230" s="28">
        <v>1088</v>
      </c>
      <c r="N230" s="28">
        <v>1105</v>
      </c>
      <c r="O230" s="28">
        <v>1024</v>
      </c>
      <c r="P230" s="28">
        <v>914</v>
      </c>
      <c r="Q230" s="28">
        <v>1028</v>
      </c>
      <c r="R230" s="28">
        <v>929</v>
      </c>
      <c r="S230" s="28">
        <v>1161</v>
      </c>
      <c r="T230" s="28">
        <v>1113</v>
      </c>
      <c r="U230" s="28">
        <v>1206</v>
      </c>
      <c r="V230" s="28">
        <v>1515</v>
      </c>
    </row>
    <row r="231" spans="1:22" ht="38.25" x14ac:dyDescent="0.2">
      <c r="A231" s="28" t="s">
        <v>205</v>
      </c>
      <c r="B231" s="28" t="s">
        <v>222</v>
      </c>
      <c r="C231" s="28">
        <f t="shared" ref="C231:V231" si="45">SUM(C232:C234)</f>
        <v>181366</v>
      </c>
      <c r="D231" s="28">
        <f t="shared" si="45"/>
        <v>189974</v>
      </c>
      <c r="E231" s="28">
        <f t="shared" si="45"/>
        <v>195498</v>
      </c>
      <c r="F231" s="28">
        <f t="shared" si="45"/>
        <v>217567</v>
      </c>
      <c r="G231" s="28">
        <f t="shared" si="45"/>
        <v>253662</v>
      </c>
      <c r="H231" s="28">
        <f t="shared" si="45"/>
        <v>261144</v>
      </c>
      <c r="I231" s="28">
        <f t="shared" si="45"/>
        <v>261973</v>
      </c>
      <c r="J231" s="28">
        <f t="shared" si="45"/>
        <v>284574</v>
      </c>
      <c r="K231" s="28">
        <f t="shared" si="45"/>
        <v>339724</v>
      </c>
      <c r="L231" s="28">
        <f t="shared" si="45"/>
        <v>440322</v>
      </c>
      <c r="M231" s="28">
        <f t="shared" si="45"/>
        <v>448377</v>
      </c>
      <c r="N231" s="28">
        <f t="shared" si="45"/>
        <v>462112</v>
      </c>
      <c r="O231" s="28">
        <f t="shared" si="45"/>
        <v>308535</v>
      </c>
      <c r="P231" s="28">
        <f t="shared" si="45"/>
        <v>315106</v>
      </c>
      <c r="Q231" s="28">
        <f t="shared" si="45"/>
        <v>315315</v>
      </c>
      <c r="R231" s="28">
        <f t="shared" si="45"/>
        <v>299366</v>
      </c>
      <c r="S231" s="28">
        <f t="shared" si="45"/>
        <v>286093</v>
      </c>
      <c r="T231" s="28">
        <f t="shared" si="45"/>
        <v>286498</v>
      </c>
      <c r="U231" s="28">
        <f t="shared" si="45"/>
        <v>303159</v>
      </c>
      <c r="V231" s="28">
        <f t="shared" si="45"/>
        <v>355153</v>
      </c>
    </row>
    <row r="232" spans="1:22" ht="63.75" x14ac:dyDescent="0.2">
      <c r="A232" s="28" t="s">
        <v>205</v>
      </c>
      <c r="B232" s="28" t="s">
        <v>223</v>
      </c>
      <c r="C232" s="28">
        <v>6623</v>
      </c>
      <c r="D232" s="28">
        <v>7841</v>
      </c>
      <c r="E232" s="28">
        <v>8899</v>
      </c>
      <c r="F232" s="28">
        <v>8400</v>
      </c>
      <c r="G232" s="28">
        <v>9041</v>
      </c>
      <c r="H232" s="28">
        <v>9961</v>
      </c>
      <c r="I232" s="28">
        <v>9257</v>
      </c>
      <c r="J232" s="28">
        <v>8130</v>
      </c>
      <c r="K232" s="28">
        <v>7689</v>
      </c>
      <c r="L232" s="28">
        <v>10308</v>
      </c>
      <c r="M232" s="28">
        <v>12886</v>
      </c>
      <c r="N232" s="28">
        <v>13940</v>
      </c>
      <c r="O232" s="28">
        <v>17396</v>
      </c>
      <c r="P232" s="28">
        <v>18247</v>
      </c>
      <c r="Q232" s="28">
        <v>19576</v>
      </c>
      <c r="R232" s="28">
        <v>20901</v>
      </c>
      <c r="S232" s="28">
        <v>19655</v>
      </c>
      <c r="T232" s="28">
        <v>20187</v>
      </c>
      <c r="U232" s="28">
        <v>19609</v>
      </c>
      <c r="V232" s="28">
        <v>22155</v>
      </c>
    </row>
    <row r="233" spans="1:22" ht="12" customHeight="1" x14ac:dyDescent="0.2">
      <c r="A233" s="28" t="s">
        <v>205</v>
      </c>
      <c r="B233" s="28" t="s">
        <v>224</v>
      </c>
      <c r="C233" s="28">
        <v>64380</v>
      </c>
      <c r="D233" s="28">
        <v>66376</v>
      </c>
      <c r="E233" s="28">
        <v>68565</v>
      </c>
      <c r="F233" s="28">
        <v>76267</v>
      </c>
      <c r="G233" s="28">
        <v>103327</v>
      </c>
      <c r="H233" s="28">
        <v>107770</v>
      </c>
      <c r="I233" s="28">
        <v>109925</v>
      </c>
      <c r="J233" s="28">
        <v>119006</v>
      </c>
      <c r="K233" s="28">
        <v>144492</v>
      </c>
      <c r="L233" s="28">
        <v>184856</v>
      </c>
      <c r="M233" s="28">
        <v>186288</v>
      </c>
      <c r="N233" s="28">
        <v>214131</v>
      </c>
      <c r="O233" s="28">
        <v>133018</v>
      </c>
      <c r="P233" s="28">
        <v>123411</v>
      </c>
      <c r="Q233" s="28">
        <v>112806</v>
      </c>
      <c r="R233" s="28">
        <v>108396</v>
      </c>
      <c r="S233" s="28">
        <v>99186</v>
      </c>
      <c r="T233" s="28">
        <v>94538</v>
      </c>
      <c r="U233" s="28">
        <v>98379</v>
      </c>
      <c r="V233" s="28">
        <v>122661</v>
      </c>
    </row>
    <row r="234" spans="1:22" s="7" customFormat="1" ht="63.75" x14ac:dyDescent="0.2">
      <c r="A234" s="28" t="s">
        <v>205</v>
      </c>
      <c r="B234" s="28" t="s">
        <v>225</v>
      </c>
      <c r="C234" s="28">
        <v>110363</v>
      </c>
      <c r="D234" s="28">
        <v>115757</v>
      </c>
      <c r="E234" s="28">
        <v>118034</v>
      </c>
      <c r="F234" s="28">
        <v>132900</v>
      </c>
      <c r="G234" s="28">
        <v>141294</v>
      </c>
      <c r="H234" s="28">
        <v>143413</v>
      </c>
      <c r="I234" s="28">
        <v>142791</v>
      </c>
      <c r="J234" s="28">
        <v>157438</v>
      </c>
      <c r="K234" s="28">
        <v>187543</v>
      </c>
      <c r="L234" s="28">
        <v>245158</v>
      </c>
      <c r="M234" s="28">
        <v>249203</v>
      </c>
      <c r="N234" s="28">
        <v>234041</v>
      </c>
      <c r="O234" s="28">
        <v>158121</v>
      </c>
      <c r="P234" s="28">
        <v>173448</v>
      </c>
      <c r="Q234" s="28">
        <v>182933</v>
      </c>
      <c r="R234" s="28">
        <v>170069</v>
      </c>
      <c r="S234" s="28">
        <v>167252</v>
      </c>
      <c r="T234" s="28">
        <v>171773</v>
      </c>
      <c r="U234" s="28">
        <v>185171</v>
      </c>
      <c r="V234" s="28">
        <v>210337</v>
      </c>
    </row>
    <row r="235" spans="1:22" ht="51" x14ac:dyDescent="0.2">
      <c r="A235" s="28" t="s">
        <v>205</v>
      </c>
      <c r="B235" s="28" t="s">
        <v>226</v>
      </c>
      <c r="C235" s="28">
        <f t="shared" ref="C235:V235" si="46">SUM(C236:C237)</f>
        <v>20277</v>
      </c>
      <c r="D235" s="28">
        <f t="shared" si="46"/>
        <v>22160</v>
      </c>
      <c r="E235" s="28">
        <f t="shared" si="46"/>
        <v>23887</v>
      </c>
      <c r="F235" s="28">
        <f t="shared" si="46"/>
        <v>23497</v>
      </c>
      <c r="G235" s="28">
        <f t="shared" si="46"/>
        <v>23430</v>
      </c>
      <c r="H235" s="28">
        <f t="shared" si="46"/>
        <v>19751</v>
      </c>
      <c r="I235" s="28">
        <f t="shared" si="46"/>
        <v>20060</v>
      </c>
      <c r="J235" s="28">
        <f t="shared" si="46"/>
        <v>19443</v>
      </c>
      <c r="K235" s="28">
        <f t="shared" si="46"/>
        <v>23621</v>
      </c>
      <c r="L235" s="28">
        <f t="shared" si="46"/>
        <v>29929</v>
      </c>
      <c r="M235" s="28">
        <f t="shared" si="46"/>
        <v>33101</v>
      </c>
      <c r="N235" s="28">
        <f t="shared" si="46"/>
        <v>34046</v>
      </c>
      <c r="O235" s="28">
        <f t="shared" si="46"/>
        <v>22334</v>
      </c>
      <c r="P235" s="28">
        <f t="shared" si="46"/>
        <v>21504</v>
      </c>
      <c r="Q235" s="28">
        <f t="shared" si="46"/>
        <v>19526</v>
      </c>
      <c r="R235" s="28">
        <f t="shared" si="46"/>
        <v>18335</v>
      </c>
      <c r="S235" s="28">
        <f t="shared" si="46"/>
        <v>17792</v>
      </c>
      <c r="T235" s="28">
        <f t="shared" si="46"/>
        <v>16837</v>
      </c>
      <c r="U235" s="28">
        <f t="shared" si="46"/>
        <v>17094</v>
      </c>
      <c r="V235" s="28">
        <f t="shared" si="46"/>
        <v>17923</v>
      </c>
    </row>
    <row r="236" spans="1:22" ht="51" x14ac:dyDescent="0.2">
      <c r="A236" s="28" t="s">
        <v>205</v>
      </c>
      <c r="B236" s="28" t="s">
        <v>227</v>
      </c>
      <c r="C236" s="28">
        <v>9440</v>
      </c>
      <c r="D236" s="28">
        <v>10457</v>
      </c>
      <c r="E236" s="28">
        <v>11628</v>
      </c>
      <c r="F236" s="28">
        <v>11304</v>
      </c>
      <c r="G236" s="28">
        <v>11936</v>
      </c>
      <c r="H236" s="28">
        <v>9798</v>
      </c>
      <c r="I236" s="28">
        <v>10197</v>
      </c>
      <c r="J236" s="28">
        <v>9522</v>
      </c>
      <c r="K236" s="28">
        <v>11670</v>
      </c>
      <c r="L236" s="28">
        <v>14344</v>
      </c>
      <c r="M236" s="28">
        <v>16383</v>
      </c>
      <c r="N236" s="28">
        <v>17084</v>
      </c>
      <c r="O236" s="28">
        <v>11418</v>
      </c>
      <c r="P236" s="28">
        <v>10713</v>
      </c>
      <c r="Q236" s="28">
        <v>9753</v>
      </c>
      <c r="R236" s="28">
        <v>9218</v>
      </c>
      <c r="S236" s="28">
        <v>8475</v>
      </c>
      <c r="T236" s="28">
        <v>7946</v>
      </c>
      <c r="U236" s="28">
        <v>8019</v>
      </c>
      <c r="V236" s="28">
        <v>8125</v>
      </c>
    </row>
    <row r="237" spans="1:22" ht="63.75" x14ac:dyDescent="0.2">
      <c r="A237" s="28" t="s">
        <v>205</v>
      </c>
      <c r="B237" s="28" t="s">
        <v>228</v>
      </c>
      <c r="C237" s="28">
        <v>10837</v>
      </c>
      <c r="D237" s="28">
        <v>11703</v>
      </c>
      <c r="E237" s="28">
        <v>12259</v>
      </c>
      <c r="F237" s="28">
        <v>12193</v>
      </c>
      <c r="G237" s="28">
        <v>11494</v>
      </c>
      <c r="H237" s="28">
        <v>9953</v>
      </c>
      <c r="I237" s="28">
        <v>9863</v>
      </c>
      <c r="J237" s="28">
        <v>9921</v>
      </c>
      <c r="K237" s="28">
        <v>11951</v>
      </c>
      <c r="L237" s="28">
        <v>15585</v>
      </c>
      <c r="M237" s="28">
        <v>16718</v>
      </c>
      <c r="N237" s="28">
        <v>16962</v>
      </c>
      <c r="O237" s="28">
        <v>10916</v>
      </c>
      <c r="P237" s="28">
        <v>10791</v>
      </c>
      <c r="Q237" s="28">
        <v>9773</v>
      </c>
      <c r="R237" s="28">
        <v>9117</v>
      </c>
      <c r="S237" s="28">
        <v>9317</v>
      </c>
      <c r="T237" s="28">
        <v>8891</v>
      </c>
      <c r="U237" s="28">
        <v>9075</v>
      </c>
      <c r="V237" s="28">
        <v>9798</v>
      </c>
    </row>
    <row r="238" spans="1:22" ht="51" x14ac:dyDescent="0.2">
      <c r="A238" s="28" t="s">
        <v>205</v>
      </c>
      <c r="B238" s="28" t="s">
        <v>229</v>
      </c>
      <c r="C238" s="28">
        <f t="shared" ref="C238:V238" si="47">C239</f>
        <v>10808</v>
      </c>
      <c r="D238" s="28">
        <f t="shared" si="47"/>
        <v>12752</v>
      </c>
      <c r="E238" s="28">
        <f t="shared" si="47"/>
        <v>13431</v>
      </c>
      <c r="F238" s="28">
        <f t="shared" si="47"/>
        <v>13302</v>
      </c>
      <c r="G238" s="28">
        <f t="shared" si="47"/>
        <v>13420</v>
      </c>
      <c r="H238" s="28">
        <f t="shared" si="47"/>
        <v>16574</v>
      </c>
      <c r="I238" s="28">
        <f t="shared" si="47"/>
        <v>15958</v>
      </c>
      <c r="J238" s="28">
        <f t="shared" si="47"/>
        <v>16952</v>
      </c>
      <c r="K238" s="28">
        <f t="shared" si="47"/>
        <v>17972</v>
      </c>
      <c r="L238" s="28">
        <f t="shared" si="47"/>
        <v>18852</v>
      </c>
      <c r="M238" s="28">
        <f t="shared" si="47"/>
        <v>17689</v>
      </c>
      <c r="N238" s="28">
        <f t="shared" si="47"/>
        <v>16293</v>
      </c>
      <c r="O238" s="28">
        <f t="shared" si="47"/>
        <v>17002</v>
      </c>
      <c r="P238" s="28">
        <f t="shared" si="47"/>
        <v>15259</v>
      </c>
      <c r="Q238" s="28">
        <f t="shared" si="47"/>
        <v>19476</v>
      </c>
      <c r="R238" s="28">
        <f t="shared" si="47"/>
        <v>18569</v>
      </c>
      <c r="S238" s="28">
        <f t="shared" si="47"/>
        <v>17967</v>
      </c>
      <c r="T238" s="28">
        <f t="shared" si="47"/>
        <v>20028</v>
      </c>
      <c r="U238" s="28">
        <f t="shared" si="47"/>
        <v>20522</v>
      </c>
      <c r="V238" s="28">
        <f t="shared" si="47"/>
        <v>24100</v>
      </c>
    </row>
    <row r="239" spans="1:22" ht="51" x14ac:dyDescent="0.2">
      <c r="A239" s="28" t="s">
        <v>205</v>
      </c>
      <c r="B239" s="28" t="s">
        <v>230</v>
      </c>
      <c r="C239" s="28">
        <v>10808</v>
      </c>
      <c r="D239" s="28">
        <v>12752</v>
      </c>
      <c r="E239" s="28">
        <v>13431</v>
      </c>
      <c r="F239" s="28">
        <v>13302</v>
      </c>
      <c r="G239" s="28">
        <v>13420</v>
      </c>
      <c r="H239" s="28">
        <v>16574</v>
      </c>
      <c r="I239" s="28">
        <v>15958</v>
      </c>
      <c r="J239" s="28">
        <v>16952</v>
      </c>
      <c r="K239" s="28">
        <v>17972</v>
      </c>
      <c r="L239" s="28">
        <v>18852</v>
      </c>
      <c r="M239" s="28">
        <v>17689</v>
      </c>
      <c r="N239" s="28">
        <v>16293</v>
      </c>
      <c r="O239" s="28">
        <v>17002</v>
      </c>
      <c r="P239" s="28">
        <v>15259</v>
      </c>
      <c r="Q239" s="28">
        <v>19476</v>
      </c>
      <c r="R239" s="28">
        <v>18569</v>
      </c>
      <c r="S239" s="28">
        <v>17967</v>
      </c>
      <c r="T239" s="28">
        <v>20028</v>
      </c>
      <c r="U239" s="28">
        <v>20522</v>
      </c>
      <c r="V239" s="28">
        <v>24100</v>
      </c>
    </row>
    <row r="240" spans="1:22" ht="38.25" x14ac:dyDescent="0.2">
      <c r="A240" s="28" t="s">
        <v>205</v>
      </c>
      <c r="B240" s="28" t="s">
        <v>231</v>
      </c>
      <c r="C240" s="28">
        <f t="shared" ref="C240:V240" si="48">SUM(C241:C251)</f>
        <v>18082</v>
      </c>
      <c r="D240" s="28">
        <f t="shared" si="48"/>
        <v>17170</v>
      </c>
      <c r="E240" s="28">
        <f t="shared" si="48"/>
        <v>15666</v>
      </c>
      <c r="F240" s="28">
        <f t="shared" si="48"/>
        <v>16773</v>
      </c>
      <c r="G240" s="28">
        <f t="shared" si="48"/>
        <v>18443</v>
      </c>
      <c r="H240" s="28">
        <f t="shared" si="48"/>
        <v>16116</v>
      </c>
      <c r="I240" s="28">
        <f t="shared" si="48"/>
        <v>13968</v>
      </c>
      <c r="J240" s="28">
        <f t="shared" si="48"/>
        <v>15123</v>
      </c>
      <c r="K240" s="28">
        <f t="shared" si="48"/>
        <v>14006</v>
      </c>
      <c r="L240" s="28">
        <f t="shared" si="48"/>
        <v>15671</v>
      </c>
      <c r="M240" s="28">
        <f t="shared" si="48"/>
        <v>13728</v>
      </c>
      <c r="N240" s="28">
        <f t="shared" si="48"/>
        <v>11384</v>
      </c>
      <c r="O240" s="28">
        <f t="shared" si="48"/>
        <v>16119</v>
      </c>
      <c r="P240" s="28">
        <f t="shared" si="48"/>
        <v>17543</v>
      </c>
      <c r="Q240" s="28">
        <f t="shared" si="48"/>
        <v>18062</v>
      </c>
      <c r="R240" s="28">
        <f t="shared" si="48"/>
        <v>17035</v>
      </c>
      <c r="S240" s="28">
        <f t="shared" si="48"/>
        <v>17157</v>
      </c>
      <c r="T240" s="28">
        <f t="shared" si="48"/>
        <v>19244</v>
      </c>
      <c r="U240" s="28">
        <f t="shared" si="48"/>
        <v>17910</v>
      </c>
      <c r="V240" s="28">
        <f t="shared" si="48"/>
        <v>20588</v>
      </c>
    </row>
    <row r="241" spans="1:22" ht="38.25" x14ac:dyDescent="0.2">
      <c r="A241" s="28" t="s">
        <v>205</v>
      </c>
      <c r="B241" s="28" t="s">
        <v>232</v>
      </c>
      <c r="C241" s="28">
        <v>0</v>
      </c>
      <c r="D241" s="28">
        <v>0</v>
      </c>
      <c r="E241" s="28">
        <v>0</v>
      </c>
      <c r="F241" s="28">
        <v>0</v>
      </c>
      <c r="G241" s="28">
        <v>0</v>
      </c>
      <c r="H241" s="28">
        <v>0</v>
      </c>
      <c r="I241" s="28">
        <v>0</v>
      </c>
      <c r="J241" s="28">
        <v>0</v>
      </c>
      <c r="K241" s="28">
        <v>0</v>
      </c>
      <c r="L241" s="28">
        <v>0</v>
      </c>
      <c r="M241" s="28">
        <v>0</v>
      </c>
      <c r="N241" s="28">
        <v>0</v>
      </c>
      <c r="O241" s="28">
        <v>3612</v>
      </c>
      <c r="P241" s="28">
        <v>3907</v>
      </c>
      <c r="Q241" s="28">
        <v>3624</v>
      </c>
      <c r="R241" s="28">
        <v>3245</v>
      </c>
      <c r="S241" s="28">
        <v>3276</v>
      </c>
      <c r="T241" s="28">
        <v>3081</v>
      </c>
      <c r="U241" s="28">
        <v>3932</v>
      </c>
      <c r="V241" s="28">
        <v>4235</v>
      </c>
    </row>
    <row r="242" spans="1:22" ht="38.25" x14ac:dyDescent="0.2">
      <c r="A242" s="28" t="s">
        <v>205</v>
      </c>
      <c r="B242" s="28" t="s">
        <v>233</v>
      </c>
      <c r="C242" s="28">
        <v>0</v>
      </c>
      <c r="D242" s="28">
        <v>0</v>
      </c>
      <c r="E242" s="28">
        <v>0</v>
      </c>
      <c r="F242" s="28">
        <v>0</v>
      </c>
      <c r="G242" s="28">
        <v>0</v>
      </c>
      <c r="H242" s="28">
        <v>0</v>
      </c>
      <c r="I242" s="28">
        <v>0</v>
      </c>
      <c r="J242" s="28">
        <v>0</v>
      </c>
      <c r="K242" s="28">
        <v>0</v>
      </c>
      <c r="L242" s="28">
        <v>0</v>
      </c>
      <c r="M242" s="28">
        <v>0</v>
      </c>
      <c r="N242" s="28">
        <v>0</v>
      </c>
      <c r="O242" s="28">
        <v>496</v>
      </c>
      <c r="P242" s="28">
        <v>482</v>
      </c>
      <c r="Q242" s="28">
        <v>462</v>
      </c>
      <c r="R242" s="28">
        <v>457</v>
      </c>
      <c r="S242" s="28">
        <v>493</v>
      </c>
      <c r="T242" s="28">
        <v>407</v>
      </c>
      <c r="U242" s="28">
        <v>338</v>
      </c>
      <c r="V242" s="28">
        <v>375</v>
      </c>
    </row>
    <row r="243" spans="1:22" ht="38.25" x14ac:dyDescent="0.2">
      <c r="A243" s="28" t="s">
        <v>205</v>
      </c>
      <c r="B243" s="28" t="s">
        <v>234</v>
      </c>
      <c r="C243" s="28">
        <v>4325</v>
      </c>
      <c r="D243" s="28">
        <v>4045</v>
      </c>
      <c r="E243" s="28">
        <v>3799</v>
      </c>
      <c r="F243" s="28">
        <v>4063</v>
      </c>
      <c r="G243" s="28">
        <v>4254</v>
      </c>
      <c r="H243" s="28">
        <v>4251</v>
      </c>
      <c r="I243" s="28">
        <v>3844</v>
      </c>
      <c r="J243" s="28">
        <v>4026</v>
      </c>
      <c r="K243" s="28">
        <v>3516</v>
      </c>
      <c r="L243" s="28">
        <v>3282</v>
      </c>
      <c r="M243" s="28">
        <v>3195</v>
      </c>
      <c r="N243" s="28">
        <v>3253</v>
      </c>
      <c r="O243" s="28">
        <v>3737</v>
      </c>
      <c r="P243" s="28">
        <v>4240</v>
      </c>
      <c r="Q243" s="28">
        <v>4282</v>
      </c>
      <c r="R243" s="28">
        <v>4135</v>
      </c>
      <c r="S243" s="28">
        <v>4079</v>
      </c>
      <c r="T243" s="28">
        <v>4829</v>
      </c>
      <c r="U243" s="28">
        <v>4865</v>
      </c>
      <c r="V243" s="28">
        <v>6219</v>
      </c>
    </row>
    <row r="244" spans="1:22" ht="38.25" x14ac:dyDescent="0.2">
      <c r="A244" s="28" t="s">
        <v>205</v>
      </c>
      <c r="B244" s="28" t="s">
        <v>235</v>
      </c>
      <c r="C244" s="28">
        <v>7629</v>
      </c>
      <c r="D244" s="28">
        <v>6799</v>
      </c>
      <c r="E244" s="28">
        <v>5594</v>
      </c>
      <c r="F244" s="28">
        <v>5991</v>
      </c>
      <c r="G244" s="28">
        <v>7763</v>
      </c>
      <c r="H244" s="28">
        <v>6097</v>
      </c>
      <c r="I244" s="28">
        <v>4533</v>
      </c>
      <c r="J244" s="28">
        <v>4727</v>
      </c>
      <c r="K244" s="28">
        <v>4843</v>
      </c>
      <c r="L244" s="28">
        <v>5534</v>
      </c>
      <c r="M244" s="28">
        <v>5353</v>
      </c>
      <c r="N244" s="28">
        <v>3626</v>
      </c>
      <c r="O244" s="28">
        <v>3983</v>
      </c>
      <c r="P244" s="28">
        <v>4508</v>
      </c>
      <c r="Q244" s="28">
        <v>5382</v>
      </c>
      <c r="R244" s="28">
        <v>4608</v>
      </c>
      <c r="S244" s="28">
        <v>5054</v>
      </c>
      <c r="T244" s="28">
        <v>6694</v>
      </c>
      <c r="U244" s="28">
        <v>5074</v>
      </c>
      <c r="V244" s="28">
        <v>4846</v>
      </c>
    </row>
    <row r="245" spans="1:22" ht="38.25" x14ac:dyDescent="0.2">
      <c r="A245" s="28" t="s">
        <v>205</v>
      </c>
      <c r="B245" s="28" t="s">
        <v>236</v>
      </c>
      <c r="C245" s="28">
        <v>2081</v>
      </c>
      <c r="D245" s="28">
        <v>1811</v>
      </c>
      <c r="E245" s="28">
        <v>1386</v>
      </c>
      <c r="F245" s="28">
        <v>1050</v>
      </c>
      <c r="G245" s="28">
        <v>1344</v>
      </c>
      <c r="H245" s="28">
        <v>1137</v>
      </c>
      <c r="I245" s="28">
        <v>1238</v>
      </c>
      <c r="J245" s="28">
        <v>1238</v>
      </c>
      <c r="K245" s="28">
        <v>917</v>
      </c>
      <c r="L245" s="28">
        <v>764</v>
      </c>
      <c r="M245" s="28">
        <v>835</v>
      </c>
      <c r="N245" s="28">
        <v>504</v>
      </c>
      <c r="O245" s="28">
        <v>477</v>
      </c>
      <c r="P245" s="28">
        <v>276</v>
      </c>
      <c r="Q245" s="28">
        <v>125</v>
      </c>
      <c r="R245" s="28">
        <v>109</v>
      </c>
      <c r="S245" s="28">
        <v>52</v>
      </c>
      <c r="T245" s="28">
        <v>48</v>
      </c>
      <c r="U245" s="28">
        <v>19</v>
      </c>
      <c r="V245" s="28">
        <v>13</v>
      </c>
    </row>
    <row r="246" spans="1:22" ht="51" x14ac:dyDescent="0.2">
      <c r="A246" s="28" t="s">
        <v>205</v>
      </c>
      <c r="B246" s="28" t="s">
        <v>237</v>
      </c>
      <c r="C246" s="28">
        <v>0</v>
      </c>
      <c r="D246" s="28">
        <v>0</v>
      </c>
      <c r="E246" s="28">
        <v>0</v>
      </c>
      <c r="F246" s="28">
        <v>0</v>
      </c>
      <c r="G246" s="28">
        <v>0</v>
      </c>
      <c r="H246" s="28">
        <v>0</v>
      </c>
      <c r="I246" s="28">
        <v>0</v>
      </c>
      <c r="J246" s="28">
        <v>0</v>
      </c>
      <c r="K246" s="28">
        <v>0</v>
      </c>
      <c r="L246" s="28">
        <v>0</v>
      </c>
      <c r="M246" s="28">
        <f>690+78</f>
        <v>768</v>
      </c>
      <c r="N246" s="28">
        <v>639</v>
      </c>
      <c r="O246" s="28">
        <v>791</v>
      </c>
      <c r="P246" s="28">
        <v>875</v>
      </c>
      <c r="Q246" s="28">
        <v>913</v>
      </c>
      <c r="R246" s="28">
        <v>1114</v>
      </c>
      <c r="S246" s="28">
        <v>1006</v>
      </c>
      <c r="T246" s="28">
        <v>1133</v>
      </c>
      <c r="U246" s="28">
        <v>867</v>
      </c>
      <c r="V246" s="28">
        <v>1612</v>
      </c>
    </row>
    <row r="247" spans="1:22" ht="38.25" x14ac:dyDescent="0.2">
      <c r="A247" s="28" t="s">
        <v>205</v>
      </c>
      <c r="B247" s="28" t="s">
        <v>238</v>
      </c>
      <c r="C247" s="28">
        <v>825</v>
      </c>
      <c r="D247" s="28">
        <v>842</v>
      </c>
      <c r="E247" s="28">
        <v>989</v>
      </c>
      <c r="F247" s="28">
        <v>942</v>
      </c>
      <c r="G247" s="28">
        <v>889</v>
      </c>
      <c r="H247" s="28">
        <v>1041</v>
      </c>
      <c r="I247" s="28">
        <v>999</v>
      </c>
      <c r="J247" s="28">
        <v>1070</v>
      </c>
      <c r="K247" s="28">
        <v>896</v>
      </c>
      <c r="L247" s="28">
        <v>1166</v>
      </c>
      <c r="M247" s="28">
        <v>1179</v>
      </c>
      <c r="N247" s="28">
        <v>1210</v>
      </c>
      <c r="O247" s="28">
        <v>1228</v>
      </c>
      <c r="P247" s="28">
        <v>1246</v>
      </c>
      <c r="Q247" s="28">
        <v>1296</v>
      </c>
      <c r="R247" s="28">
        <v>1211</v>
      </c>
      <c r="S247" s="28">
        <v>1111</v>
      </c>
      <c r="T247" s="28">
        <v>1033</v>
      </c>
      <c r="U247" s="28">
        <v>796</v>
      </c>
      <c r="V247" s="28">
        <v>1179</v>
      </c>
    </row>
    <row r="248" spans="1:22" ht="38.25" x14ac:dyDescent="0.2">
      <c r="A248" s="28" t="s">
        <v>205</v>
      </c>
      <c r="B248" s="28" t="s">
        <v>239</v>
      </c>
      <c r="C248" s="28">
        <v>1508</v>
      </c>
      <c r="D248" s="28">
        <v>1756</v>
      </c>
      <c r="E248" s="28">
        <v>1747</v>
      </c>
      <c r="F248" s="28">
        <v>1939</v>
      </c>
      <c r="G248" s="28">
        <v>1848</v>
      </c>
      <c r="H248" s="28">
        <v>1997</v>
      </c>
      <c r="I248" s="28">
        <v>1802</v>
      </c>
      <c r="J248" s="28">
        <v>1880</v>
      </c>
      <c r="K248" s="28">
        <v>1775</v>
      </c>
      <c r="L248" s="28">
        <v>1665</v>
      </c>
      <c r="M248" s="28">
        <v>1705</v>
      </c>
      <c r="N248" s="28">
        <v>1632</v>
      </c>
      <c r="O248" s="28">
        <v>1483</v>
      </c>
      <c r="P248" s="28">
        <v>1715</v>
      </c>
      <c r="Q248" s="28">
        <v>1733</v>
      </c>
      <c r="R248" s="28">
        <v>1939</v>
      </c>
      <c r="S248" s="28">
        <v>1875</v>
      </c>
      <c r="T248" s="28">
        <v>1837</v>
      </c>
      <c r="U248" s="28">
        <v>1772</v>
      </c>
      <c r="V248" s="28">
        <v>1892</v>
      </c>
    </row>
    <row r="249" spans="1:22" ht="25.5" x14ac:dyDescent="0.2">
      <c r="A249" s="28" t="s">
        <v>205</v>
      </c>
      <c r="B249" s="28" t="s">
        <v>240</v>
      </c>
      <c r="C249" s="28">
        <v>191</v>
      </c>
      <c r="D249" s="28">
        <v>211</v>
      </c>
      <c r="E249" s="28">
        <v>220</v>
      </c>
      <c r="F249" s="28">
        <v>179</v>
      </c>
      <c r="G249" s="28">
        <v>212</v>
      </c>
      <c r="H249" s="28">
        <v>182</v>
      </c>
      <c r="I249" s="28">
        <v>214</v>
      </c>
      <c r="J249" s="28">
        <v>179</v>
      </c>
      <c r="K249" s="28">
        <v>205</v>
      </c>
      <c r="L249" s="28">
        <v>229</v>
      </c>
      <c r="M249" s="28">
        <v>314</v>
      </c>
      <c r="N249" s="28">
        <v>263</v>
      </c>
      <c r="O249" s="28">
        <v>0</v>
      </c>
      <c r="P249" s="28">
        <v>0</v>
      </c>
      <c r="Q249" s="28">
        <v>0</v>
      </c>
      <c r="R249" s="28">
        <v>0</v>
      </c>
      <c r="S249" s="28">
        <v>0</v>
      </c>
      <c r="T249" s="28">
        <v>0</v>
      </c>
      <c r="U249" s="28">
        <v>0</v>
      </c>
      <c r="V249" s="28">
        <v>0</v>
      </c>
    </row>
    <row r="250" spans="1:22" ht="38.25" x14ac:dyDescent="0.2">
      <c r="A250" s="28" t="s">
        <v>205</v>
      </c>
      <c r="B250" s="28" t="s">
        <v>241</v>
      </c>
      <c r="C250" s="28">
        <v>123</v>
      </c>
      <c r="D250" s="28">
        <v>155</v>
      </c>
      <c r="E250" s="28">
        <v>175</v>
      </c>
      <c r="F250" s="28">
        <v>247</v>
      </c>
      <c r="G250" s="28">
        <v>282</v>
      </c>
      <c r="H250" s="28">
        <v>265</v>
      </c>
      <c r="I250" s="28">
        <v>239</v>
      </c>
      <c r="J250" s="28">
        <v>258</v>
      </c>
      <c r="K250" s="28">
        <v>196</v>
      </c>
      <c r="L250" s="28">
        <v>301</v>
      </c>
      <c r="M250" s="28">
        <v>379</v>
      </c>
      <c r="N250" s="28">
        <v>257</v>
      </c>
      <c r="O250" s="28">
        <v>312</v>
      </c>
      <c r="P250" s="28">
        <v>294</v>
      </c>
      <c r="Q250" s="28">
        <v>245</v>
      </c>
      <c r="R250" s="28">
        <v>217</v>
      </c>
      <c r="S250" s="28">
        <v>211</v>
      </c>
      <c r="T250" s="28">
        <v>182</v>
      </c>
      <c r="U250" s="28">
        <v>247</v>
      </c>
      <c r="V250" s="28">
        <v>217</v>
      </c>
    </row>
    <row r="251" spans="1:22" ht="51" x14ac:dyDescent="0.2">
      <c r="A251" s="28" t="s">
        <v>205</v>
      </c>
      <c r="B251" s="28" t="s">
        <v>242</v>
      </c>
      <c r="C251" s="28">
        <v>1400</v>
      </c>
      <c r="D251" s="28">
        <v>1551</v>
      </c>
      <c r="E251" s="28">
        <v>1756</v>
      </c>
      <c r="F251" s="28">
        <v>2362</v>
      </c>
      <c r="G251" s="28">
        <v>1851</v>
      </c>
      <c r="H251" s="28">
        <v>1146</v>
      </c>
      <c r="I251" s="28">
        <v>1099</v>
      </c>
      <c r="J251" s="28">
        <v>1745</v>
      </c>
      <c r="K251" s="28">
        <v>1658</v>
      </c>
      <c r="L251" s="28">
        <v>2730</v>
      </c>
      <c r="M251" s="28">
        <v>0</v>
      </c>
      <c r="N251" s="28">
        <v>0</v>
      </c>
      <c r="O251" s="28">
        <v>0</v>
      </c>
      <c r="P251" s="28">
        <v>0</v>
      </c>
      <c r="Q251" s="28">
        <v>0</v>
      </c>
      <c r="R251" s="28">
        <v>0</v>
      </c>
      <c r="S251" s="28">
        <v>0</v>
      </c>
      <c r="T251" s="28">
        <v>0</v>
      </c>
      <c r="U251" s="28">
        <v>0</v>
      </c>
      <c r="V251" s="28">
        <v>0</v>
      </c>
    </row>
    <row r="252" spans="1:22" ht="38.25" x14ac:dyDescent="0.2">
      <c r="A252" s="28" t="s">
        <v>205</v>
      </c>
      <c r="B252" s="28" t="s">
        <v>243</v>
      </c>
      <c r="C252" s="28">
        <f t="shared" ref="C252:V252" si="49">SUM(C253:C259)</f>
        <v>3710</v>
      </c>
      <c r="D252" s="28">
        <f t="shared" si="49"/>
        <v>4110</v>
      </c>
      <c r="E252" s="28">
        <f t="shared" si="49"/>
        <v>3863</v>
      </c>
      <c r="F252" s="28">
        <f t="shared" si="49"/>
        <v>3946</v>
      </c>
      <c r="G252" s="28">
        <f t="shared" si="49"/>
        <v>4937</v>
      </c>
      <c r="H252" s="28">
        <f t="shared" si="49"/>
        <v>4523</v>
      </c>
      <c r="I252" s="28">
        <f t="shared" si="49"/>
        <v>5082</v>
      </c>
      <c r="J252" s="28">
        <f t="shared" si="49"/>
        <v>5243</v>
      </c>
      <c r="K252" s="28">
        <f t="shared" si="49"/>
        <v>6006</v>
      </c>
      <c r="L252" s="28">
        <f t="shared" si="49"/>
        <v>6793</v>
      </c>
      <c r="M252" s="28">
        <f t="shared" si="49"/>
        <v>6721</v>
      </c>
      <c r="N252" s="28">
        <f t="shared" si="49"/>
        <v>6688</v>
      </c>
      <c r="O252" s="28">
        <f t="shared" si="49"/>
        <v>4149</v>
      </c>
      <c r="P252" s="28">
        <f t="shared" si="49"/>
        <v>4314</v>
      </c>
      <c r="Q252" s="28">
        <f t="shared" si="49"/>
        <v>4207</v>
      </c>
      <c r="R252" s="28">
        <f t="shared" si="49"/>
        <v>4046</v>
      </c>
      <c r="S252" s="28">
        <f t="shared" si="49"/>
        <v>4273</v>
      </c>
      <c r="T252" s="28">
        <f t="shared" si="49"/>
        <v>5355</v>
      </c>
      <c r="U252" s="28">
        <f t="shared" si="49"/>
        <v>5940</v>
      </c>
      <c r="V252" s="28">
        <f t="shared" si="49"/>
        <v>12449</v>
      </c>
    </row>
    <row r="253" spans="1:22" ht="38.25" x14ac:dyDescent="0.2">
      <c r="A253" s="28" t="s">
        <v>205</v>
      </c>
      <c r="B253" s="28" t="s">
        <v>244</v>
      </c>
      <c r="C253" s="28">
        <v>788</v>
      </c>
      <c r="D253" s="28">
        <v>1088</v>
      </c>
      <c r="E253" s="28">
        <v>746</v>
      </c>
      <c r="F253" s="28">
        <v>637</v>
      </c>
      <c r="G253" s="28">
        <v>830</v>
      </c>
      <c r="H253" s="28">
        <v>712</v>
      </c>
      <c r="I253" s="28">
        <v>733</v>
      </c>
      <c r="J253" s="28">
        <v>664</v>
      </c>
      <c r="K253" s="28">
        <v>796</v>
      </c>
      <c r="L253" s="28">
        <v>1197</v>
      </c>
      <c r="M253" s="28">
        <v>1354</v>
      </c>
      <c r="N253" s="28">
        <v>1333</v>
      </c>
      <c r="O253" s="28">
        <v>1420</v>
      </c>
      <c r="P253" s="28">
        <v>1446</v>
      </c>
      <c r="Q253" s="28">
        <v>1475</v>
      </c>
      <c r="R253" s="28">
        <v>1437</v>
      </c>
      <c r="S253" s="28">
        <v>1408</v>
      </c>
      <c r="T253" s="28">
        <v>1217</v>
      </c>
      <c r="U253" s="28">
        <v>1425</v>
      </c>
      <c r="V253" s="28">
        <v>7326</v>
      </c>
    </row>
    <row r="254" spans="1:22" ht="51" x14ac:dyDescent="0.2">
      <c r="A254" s="28" t="s">
        <v>205</v>
      </c>
      <c r="B254" s="28" t="s">
        <v>245</v>
      </c>
      <c r="C254" s="28">
        <v>0</v>
      </c>
      <c r="D254" s="28">
        <v>0</v>
      </c>
      <c r="E254" s="28">
        <v>0</v>
      </c>
      <c r="F254" s="28">
        <v>0</v>
      </c>
      <c r="G254" s="28">
        <v>0</v>
      </c>
      <c r="H254" s="28">
        <v>0</v>
      </c>
      <c r="I254" s="28">
        <v>0</v>
      </c>
      <c r="J254" s="28">
        <v>0</v>
      </c>
      <c r="K254" s="28">
        <v>200</v>
      </c>
      <c r="L254" s="28">
        <v>343</v>
      </c>
      <c r="M254" s="28">
        <v>15</v>
      </c>
      <c r="N254" s="28">
        <v>38</v>
      </c>
      <c r="O254" s="28">
        <v>87</v>
      </c>
      <c r="P254" s="28">
        <v>131</v>
      </c>
      <c r="Q254" s="28">
        <v>143</v>
      </c>
      <c r="R254" s="28">
        <v>130</v>
      </c>
      <c r="S254" s="28">
        <v>248</v>
      </c>
      <c r="T254" s="28">
        <v>170</v>
      </c>
      <c r="U254" s="28">
        <v>204</v>
      </c>
      <c r="V254" s="28">
        <v>263</v>
      </c>
    </row>
    <row r="255" spans="1:22" ht="38.25" x14ac:dyDescent="0.2">
      <c r="A255" s="28" t="s">
        <v>205</v>
      </c>
      <c r="B255" s="28" t="s">
        <v>246</v>
      </c>
      <c r="C255" s="28">
        <v>826</v>
      </c>
      <c r="D255" s="28">
        <v>762</v>
      </c>
      <c r="E255" s="28">
        <v>723</v>
      </c>
      <c r="F255" s="28">
        <v>877</v>
      </c>
      <c r="G255" s="28">
        <v>1177</v>
      </c>
      <c r="H255" s="28">
        <v>986</v>
      </c>
      <c r="I255" s="28">
        <v>1257</v>
      </c>
      <c r="J255" s="28">
        <v>1064</v>
      </c>
      <c r="K255" s="28">
        <v>1151</v>
      </c>
      <c r="L255" s="28">
        <v>1349</v>
      </c>
      <c r="M255" s="28">
        <v>1180</v>
      </c>
      <c r="N255" s="28">
        <v>1043</v>
      </c>
      <c r="O255" s="28">
        <v>1404</v>
      </c>
      <c r="P255" s="28">
        <v>1268</v>
      </c>
      <c r="Q255" s="28">
        <v>1291</v>
      </c>
      <c r="R255" s="28">
        <v>1253</v>
      </c>
      <c r="S255" s="28">
        <v>1538</v>
      </c>
      <c r="T255" s="28">
        <v>2921</v>
      </c>
      <c r="U255" s="28">
        <v>3357</v>
      </c>
      <c r="V255" s="28">
        <v>3563</v>
      </c>
    </row>
    <row r="256" spans="1:22" ht="38.25" x14ac:dyDescent="0.2">
      <c r="A256" s="28" t="s">
        <v>205</v>
      </c>
      <c r="B256" s="28" t="s">
        <v>247</v>
      </c>
      <c r="C256" s="28">
        <v>1202</v>
      </c>
      <c r="D256" s="28">
        <v>1283</v>
      </c>
      <c r="E256" s="28">
        <v>1349</v>
      </c>
      <c r="F256" s="28">
        <v>1383</v>
      </c>
      <c r="G256" s="28">
        <v>1779</v>
      </c>
      <c r="H256" s="28">
        <v>1614</v>
      </c>
      <c r="I256" s="28">
        <v>1691</v>
      </c>
      <c r="J256" s="28">
        <v>1440</v>
      </c>
      <c r="K256" s="28">
        <v>1457</v>
      </c>
      <c r="L256" s="28">
        <v>1489</v>
      </c>
      <c r="M256" s="28">
        <v>1512</v>
      </c>
      <c r="N256" s="28">
        <v>1526</v>
      </c>
      <c r="O256" s="28">
        <v>1011</v>
      </c>
      <c r="P256" s="28">
        <v>1449</v>
      </c>
      <c r="Q256" s="28">
        <v>1269</v>
      </c>
      <c r="R256" s="28">
        <v>1195</v>
      </c>
      <c r="S256" s="28">
        <v>1038</v>
      </c>
      <c r="T256" s="28">
        <v>1000</v>
      </c>
      <c r="U256" s="28">
        <v>927</v>
      </c>
      <c r="V256" s="28">
        <v>1244</v>
      </c>
    </row>
    <row r="257" spans="1:22" ht="51" x14ac:dyDescent="0.2">
      <c r="A257" s="28" t="s">
        <v>205</v>
      </c>
      <c r="B257" s="28" t="s">
        <v>248</v>
      </c>
      <c r="C257" s="28">
        <v>0</v>
      </c>
      <c r="D257" s="28">
        <v>0</v>
      </c>
      <c r="E257" s="28">
        <v>0</v>
      </c>
      <c r="F257" s="28">
        <v>0</v>
      </c>
      <c r="G257" s="28">
        <v>0</v>
      </c>
      <c r="H257" s="28">
        <v>0</v>
      </c>
      <c r="I257" s="28">
        <v>0</v>
      </c>
      <c r="J257" s="28">
        <v>0</v>
      </c>
      <c r="K257" s="28">
        <v>0</v>
      </c>
      <c r="L257" s="28">
        <v>0</v>
      </c>
      <c r="M257" s="28">
        <v>0</v>
      </c>
      <c r="N257" s="28">
        <v>0</v>
      </c>
      <c r="O257" s="28">
        <v>22</v>
      </c>
      <c r="P257" s="28">
        <v>20</v>
      </c>
      <c r="Q257" s="28">
        <v>29</v>
      </c>
      <c r="R257" s="28">
        <v>31</v>
      </c>
      <c r="S257" s="28">
        <v>41</v>
      </c>
      <c r="T257" s="28">
        <v>47</v>
      </c>
      <c r="U257" s="28">
        <v>27</v>
      </c>
      <c r="V257" s="28">
        <v>53</v>
      </c>
    </row>
    <row r="258" spans="1:22" ht="38.25" x14ac:dyDescent="0.2">
      <c r="A258" s="28" t="s">
        <v>205</v>
      </c>
      <c r="B258" s="28" t="s">
        <v>249</v>
      </c>
      <c r="C258" s="28">
        <v>808</v>
      </c>
      <c r="D258" s="28">
        <v>883</v>
      </c>
      <c r="E258" s="28">
        <v>917</v>
      </c>
      <c r="F258" s="28">
        <v>937</v>
      </c>
      <c r="G258" s="28">
        <v>1059</v>
      </c>
      <c r="H258" s="28">
        <v>1053</v>
      </c>
      <c r="I258" s="28">
        <v>1254</v>
      </c>
      <c r="J258" s="28">
        <v>1957</v>
      </c>
      <c r="K258" s="28">
        <v>2276</v>
      </c>
      <c r="L258" s="28">
        <v>2290</v>
      </c>
      <c r="M258" s="28">
        <v>2548</v>
      </c>
      <c r="N258" s="28">
        <v>2584</v>
      </c>
      <c r="O258" s="28">
        <v>190</v>
      </c>
      <c r="P258" s="28">
        <v>0</v>
      </c>
      <c r="Q258" s="28">
        <v>0</v>
      </c>
      <c r="R258" s="28">
        <v>0</v>
      </c>
      <c r="S258" s="28">
        <v>0</v>
      </c>
      <c r="T258" s="28">
        <v>0</v>
      </c>
      <c r="U258" s="28">
        <v>0</v>
      </c>
      <c r="V258" s="28">
        <v>0</v>
      </c>
    </row>
    <row r="259" spans="1:22" ht="38.25" x14ac:dyDescent="0.2">
      <c r="A259" s="28" t="s">
        <v>205</v>
      </c>
      <c r="B259" s="28" t="s">
        <v>250</v>
      </c>
      <c r="C259" s="28">
        <v>86</v>
      </c>
      <c r="D259" s="28">
        <v>94</v>
      </c>
      <c r="E259" s="28">
        <v>128</v>
      </c>
      <c r="F259" s="28">
        <v>112</v>
      </c>
      <c r="G259" s="28">
        <v>92</v>
      </c>
      <c r="H259" s="28">
        <v>158</v>
      </c>
      <c r="I259" s="28">
        <v>147</v>
      </c>
      <c r="J259" s="28">
        <v>118</v>
      </c>
      <c r="K259" s="28">
        <v>126</v>
      </c>
      <c r="L259" s="28">
        <v>125</v>
      </c>
      <c r="M259" s="28">
        <v>112</v>
      </c>
      <c r="N259" s="28">
        <v>164</v>
      </c>
      <c r="O259" s="28">
        <v>15</v>
      </c>
      <c r="P259" s="28">
        <v>0</v>
      </c>
      <c r="Q259" s="28">
        <v>0</v>
      </c>
      <c r="R259" s="28">
        <v>0</v>
      </c>
      <c r="S259" s="28">
        <v>0</v>
      </c>
      <c r="T259" s="28">
        <v>0</v>
      </c>
      <c r="U259" s="28">
        <v>0</v>
      </c>
      <c r="V259" s="28">
        <v>0</v>
      </c>
    </row>
    <row r="260" spans="1:22" ht="25.5" x14ac:dyDescent="0.2">
      <c r="A260" s="28" t="s">
        <v>205</v>
      </c>
      <c r="B260" s="28" t="s">
        <v>251</v>
      </c>
      <c r="C260" s="28">
        <v>48357</v>
      </c>
      <c r="D260" s="28">
        <v>45124</v>
      </c>
      <c r="E260" s="28">
        <v>43842</v>
      </c>
      <c r="F260" s="28">
        <v>50100</v>
      </c>
      <c r="G260" s="28">
        <v>52215</v>
      </c>
      <c r="H260" s="28">
        <v>53323</v>
      </c>
      <c r="I260" s="28">
        <v>54178</v>
      </c>
      <c r="J260" s="28">
        <v>53383</v>
      </c>
      <c r="K260" s="28">
        <v>65100</v>
      </c>
      <c r="L260" s="28">
        <v>74893</v>
      </c>
      <c r="M260" s="28">
        <v>75955</v>
      </c>
      <c r="N260" s="28">
        <v>78483</v>
      </c>
      <c r="O260" s="28">
        <v>78804</v>
      </c>
      <c r="P260" s="28">
        <v>86735</v>
      </c>
      <c r="Q260" s="28">
        <v>86508</v>
      </c>
      <c r="R260" s="28">
        <v>87685</v>
      </c>
      <c r="S260" s="28">
        <v>93579</v>
      </c>
      <c r="T260" s="28">
        <v>95549</v>
      </c>
      <c r="U260" s="28">
        <v>94949</v>
      </c>
      <c r="V260" s="28">
        <v>94619</v>
      </c>
    </row>
    <row r="261" spans="1:22" ht="38.25" x14ac:dyDescent="0.2">
      <c r="A261" s="28" t="s">
        <v>205</v>
      </c>
      <c r="B261" s="28" t="s">
        <v>252</v>
      </c>
      <c r="C261" s="28">
        <v>33510</v>
      </c>
      <c r="D261" s="28">
        <v>36363</v>
      </c>
      <c r="E261" s="28">
        <v>36619</v>
      </c>
      <c r="F261" s="28">
        <v>38806</v>
      </c>
      <c r="G261" s="28">
        <v>37564</v>
      </c>
      <c r="H261" s="28">
        <v>37628</v>
      </c>
      <c r="I261" s="28">
        <v>37014</v>
      </c>
      <c r="J261" s="28">
        <v>37311</v>
      </c>
      <c r="K261" s="28">
        <v>43286</v>
      </c>
      <c r="L261" s="28">
        <v>49043</v>
      </c>
      <c r="M261" s="28">
        <v>51762</v>
      </c>
      <c r="N261" s="28">
        <v>49059</v>
      </c>
      <c r="O261" s="28">
        <v>47732</v>
      </c>
      <c r="P261" s="28">
        <v>45736</v>
      </c>
      <c r="Q261" s="28">
        <v>42108</v>
      </c>
      <c r="R261" s="28">
        <v>43572</v>
      </c>
      <c r="S261" s="28">
        <v>42245</v>
      </c>
      <c r="T261" s="28">
        <v>40926</v>
      </c>
      <c r="U261" s="28">
        <v>38012</v>
      </c>
      <c r="V261" s="28">
        <v>35435</v>
      </c>
    </row>
    <row r="262" spans="1:22" ht="38.25" x14ac:dyDescent="0.2">
      <c r="A262" s="28" t="s">
        <v>205</v>
      </c>
      <c r="B262" s="28" t="s">
        <v>253</v>
      </c>
      <c r="C262" s="28"/>
      <c r="D262" s="28"/>
      <c r="E262" s="28">
        <v>48991</v>
      </c>
      <c r="F262" s="28">
        <v>48683</v>
      </c>
      <c r="G262" s="28">
        <v>51070</v>
      </c>
      <c r="H262" s="28">
        <v>48059</v>
      </c>
      <c r="I262" s="28">
        <v>50389</v>
      </c>
      <c r="J262" s="28">
        <v>51166</v>
      </c>
      <c r="K262" s="28">
        <v>58810</v>
      </c>
      <c r="L262" s="28">
        <v>68463</v>
      </c>
      <c r="M262" s="28">
        <v>62535</v>
      </c>
      <c r="N262" s="28">
        <v>69759</v>
      </c>
      <c r="O262" s="28">
        <v>79575</v>
      </c>
      <c r="P262" s="28">
        <v>86553</v>
      </c>
      <c r="Q262" s="28">
        <v>88456</v>
      </c>
      <c r="R262" s="28">
        <v>92265</v>
      </c>
      <c r="S262" s="28">
        <v>90358</v>
      </c>
      <c r="T262" s="28">
        <v>88253</v>
      </c>
      <c r="U262" s="28">
        <v>91436</v>
      </c>
      <c r="V262" s="28">
        <v>101491</v>
      </c>
    </row>
    <row r="263" spans="1:22" ht="51" x14ac:dyDescent="0.2">
      <c r="A263" s="28" t="s">
        <v>205</v>
      </c>
      <c r="B263" s="28" t="s">
        <v>254</v>
      </c>
      <c r="C263" s="28">
        <v>0</v>
      </c>
      <c r="D263" s="28">
        <v>0</v>
      </c>
      <c r="E263" s="28">
        <v>0</v>
      </c>
      <c r="F263" s="28">
        <v>0</v>
      </c>
      <c r="G263" s="28">
        <v>0</v>
      </c>
      <c r="H263" s="28">
        <v>0</v>
      </c>
      <c r="I263" s="28">
        <v>0</v>
      </c>
      <c r="J263" s="28">
        <v>0</v>
      </c>
      <c r="K263" s="28">
        <v>0</v>
      </c>
      <c r="L263" s="28">
        <v>0</v>
      </c>
      <c r="M263" s="28">
        <v>0</v>
      </c>
      <c r="N263" s="28">
        <v>0</v>
      </c>
      <c r="O263" s="28">
        <v>0</v>
      </c>
      <c r="P263" s="28">
        <v>0</v>
      </c>
      <c r="Q263" s="28">
        <v>0</v>
      </c>
      <c r="R263" s="28">
        <v>0</v>
      </c>
      <c r="S263" s="28">
        <v>0</v>
      </c>
      <c r="T263" s="28">
        <v>6985</v>
      </c>
      <c r="U263" s="28">
        <v>18219</v>
      </c>
      <c r="V263" s="28">
        <v>19450</v>
      </c>
    </row>
    <row r="264" spans="1:22" ht="63.75" x14ac:dyDescent="0.2">
      <c r="A264" s="28" t="s">
        <v>205</v>
      </c>
      <c r="B264" s="28" t="s">
        <v>255</v>
      </c>
      <c r="C264" s="28">
        <v>0</v>
      </c>
      <c r="D264" s="28">
        <v>0</v>
      </c>
      <c r="E264" s="28">
        <v>0</v>
      </c>
      <c r="F264" s="28">
        <v>0</v>
      </c>
      <c r="G264" s="28">
        <v>0</v>
      </c>
      <c r="H264" s="28">
        <v>0</v>
      </c>
      <c r="I264" s="28">
        <v>0</v>
      </c>
      <c r="J264" s="28">
        <v>0</v>
      </c>
      <c r="K264" s="28">
        <v>0</v>
      </c>
      <c r="L264" s="28">
        <v>0</v>
      </c>
      <c r="M264" s="28">
        <v>0</v>
      </c>
      <c r="N264" s="28">
        <v>4619</v>
      </c>
      <c r="O264" s="28">
        <v>5219</v>
      </c>
      <c r="P264" s="28">
        <v>5936</v>
      </c>
      <c r="Q264" s="28">
        <v>5461</v>
      </c>
      <c r="R264" s="28">
        <v>7306</v>
      </c>
      <c r="S264" s="28">
        <v>10201</v>
      </c>
      <c r="T264" s="28">
        <v>9513</v>
      </c>
      <c r="U264" s="28">
        <v>10482</v>
      </c>
      <c r="V264" s="28">
        <v>14797</v>
      </c>
    </row>
    <row r="265" spans="1:22" ht="51" x14ac:dyDescent="0.2">
      <c r="A265" s="28" t="s">
        <v>256</v>
      </c>
      <c r="B265" s="28" t="s">
        <v>257</v>
      </c>
      <c r="C265" s="28">
        <f>C266+C267+C268</f>
        <v>0</v>
      </c>
      <c r="D265" s="28">
        <f t="shared" ref="D265:V265" si="50">D266+D267+D268</f>
        <v>0</v>
      </c>
      <c r="E265" s="28">
        <f t="shared" si="50"/>
        <v>0</v>
      </c>
      <c r="F265" s="28">
        <f t="shared" si="50"/>
        <v>0</v>
      </c>
      <c r="G265" s="28">
        <f t="shared" si="50"/>
        <v>0</v>
      </c>
      <c r="H265" s="28">
        <f t="shared" si="50"/>
        <v>0</v>
      </c>
      <c r="I265" s="28">
        <f t="shared" si="50"/>
        <v>0</v>
      </c>
      <c r="J265" s="28">
        <f t="shared" si="50"/>
        <v>0</v>
      </c>
      <c r="K265" s="28">
        <f t="shared" si="50"/>
        <v>0</v>
      </c>
      <c r="L265" s="28">
        <f t="shared" si="50"/>
        <v>0</v>
      </c>
      <c r="M265" s="28">
        <f t="shared" si="50"/>
        <v>2902</v>
      </c>
      <c r="N265" s="28">
        <f t="shared" si="50"/>
        <v>3587</v>
      </c>
      <c r="O265" s="28">
        <f t="shared" si="50"/>
        <v>7048</v>
      </c>
      <c r="P265" s="28">
        <f t="shared" si="50"/>
        <v>6911</v>
      </c>
      <c r="Q265" s="28">
        <f t="shared" si="50"/>
        <v>4933</v>
      </c>
      <c r="R265" s="28">
        <f t="shared" si="50"/>
        <v>7289</v>
      </c>
      <c r="S265" s="28">
        <f t="shared" si="50"/>
        <v>6897</v>
      </c>
      <c r="T265" s="28">
        <f t="shared" si="50"/>
        <v>10532</v>
      </c>
      <c r="U265" s="28">
        <f t="shared" si="50"/>
        <v>10321</v>
      </c>
      <c r="V265" s="28">
        <f t="shared" si="50"/>
        <v>9338</v>
      </c>
    </row>
    <row r="266" spans="1:22" ht="25.5" x14ac:dyDescent="0.2">
      <c r="A266" s="28" t="s">
        <v>256</v>
      </c>
      <c r="B266" s="28" t="s">
        <v>258</v>
      </c>
      <c r="C266" s="28">
        <v>0</v>
      </c>
      <c r="D266" s="28">
        <v>0</v>
      </c>
      <c r="E266" s="28">
        <v>0</v>
      </c>
      <c r="F266" s="28">
        <v>0</v>
      </c>
      <c r="G266" s="28">
        <v>0</v>
      </c>
      <c r="H266" s="28">
        <v>0</v>
      </c>
      <c r="I266" s="28">
        <v>0</v>
      </c>
      <c r="J266" s="28">
        <v>0</v>
      </c>
      <c r="K266" s="28">
        <v>0</v>
      </c>
      <c r="L266" s="28">
        <v>0</v>
      </c>
      <c r="M266" s="28">
        <v>0</v>
      </c>
      <c r="N266" s="28">
        <v>0</v>
      </c>
      <c r="O266" s="28">
        <v>0</v>
      </c>
      <c r="P266" s="28">
        <v>0</v>
      </c>
      <c r="Q266" s="28">
        <v>0</v>
      </c>
      <c r="R266" s="28">
        <v>0</v>
      </c>
      <c r="S266" s="28">
        <v>0</v>
      </c>
      <c r="T266" s="28">
        <v>0</v>
      </c>
      <c r="U266" s="28">
        <v>0</v>
      </c>
      <c r="V266" s="28">
        <v>0</v>
      </c>
    </row>
    <row r="267" spans="1:22" ht="51" x14ac:dyDescent="0.2">
      <c r="A267" s="28" t="s">
        <v>256</v>
      </c>
      <c r="B267" s="28" t="s">
        <v>259</v>
      </c>
      <c r="C267" s="28">
        <v>0</v>
      </c>
      <c r="D267" s="28">
        <v>0</v>
      </c>
      <c r="E267" s="28">
        <v>0</v>
      </c>
      <c r="F267" s="28">
        <v>0</v>
      </c>
      <c r="G267" s="28">
        <v>0</v>
      </c>
      <c r="H267" s="28">
        <v>0</v>
      </c>
      <c r="I267" s="28">
        <v>0</v>
      </c>
      <c r="J267" s="28">
        <v>0</v>
      </c>
      <c r="K267" s="28">
        <v>0</v>
      </c>
      <c r="L267" s="28">
        <v>0</v>
      </c>
      <c r="M267" s="28">
        <v>0</v>
      </c>
      <c r="N267" s="28">
        <v>0</v>
      </c>
      <c r="O267" s="28">
        <v>3400</v>
      </c>
      <c r="P267" s="28">
        <v>3401</v>
      </c>
      <c r="Q267" s="28">
        <v>717</v>
      </c>
      <c r="R267" s="28">
        <v>3428</v>
      </c>
      <c r="S267" s="28">
        <v>2451</v>
      </c>
      <c r="T267" s="28">
        <v>4998</v>
      </c>
      <c r="U267" s="28">
        <v>5841</v>
      </c>
      <c r="V267" s="28">
        <v>3941</v>
      </c>
    </row>
    <row r="268" spans="1:22" ht="38.25" x14ac:dyDescent="0.2">
      <c r="A268" s="28" t="s">
        <v>256</v>
      </c>
      <c r="B268" s="28" t="s">
        <v>260</v>
      </c>
      <c r="C268" s="28">
        <v>0</v>
      </c>
      <c r="D268" s="28">
        <v>0</v>
      </c>
      <c r="E268" s="28">
        <v>0</v>
      </c>
      <c r="F268" s="28">
        <v>0</v>
      </c>
      <c r="G268" s="28">
        <v>0</v>
      </c>
      <c r="H268" s="28">
        <v>0</v>
      </c>
      <c r="I268" s="28">
        <v>0</v>
      </c>
      <c r="J268" s="28">
        <v>0</v>
      </c>
      <c r="K268" s="28">
        <v>0</v>
      </c>
      <c r="L268" s="28">
        <v>0</v>
      </c>
      <c r="M268" s="28">
        <v>2902</v>
      </c>
      <c r="N268" s="28">
        <v>3587</v>
      </c>
      <c r="O268" s="28">
        <v>3648</v>
      </c>
      <c r="P268" s="28">
        <v>3510</v>
      </c>
      <c r="Q268" s="28">
        <v>4216</v>
      </c>
      <c r="R268" s="28">
        <v>3861</v>
      </c>
      <c r="S268" s="28">
        <v>4446</v>
      </c>
      <c r="T268" s="28">
        <v>5534</v>
      </c>
      <c r="U268" s="28">
        <v>4480</v>
      </c>
      <c r="V268" s="28">
        <v>5397</v>
      </c>
    </row>
    <row r="269" spans="1:22" ht="63.75" x14ac:dyDescent="0.2">
      <c r="A269" s="28" t="s">
        <v>261</v>
      </c>
      <c r="B269" s="28" t="s">
        <v>262</v>
      </c>
      <c r="C269" s="28">
        <f t="shared" ref="C269:V269" si="51">C273+C285+C289+C292+C294+C314+C315+C316+C317+C318+C306</f>
        <v>29509</v>
      </c>
      <c r="D269" s="28">
        <f t="shared" si="51"/>
        <v>20984</v>
      </c>
      <c r="E269" s="28">
        <f t="shared" si="51"/>
        <v>26267</v>
      </c>
      <c r="F269" s="28">
        <f t="shared" si="51"/>
        <v>24837</v>
      </c>
      <c r="G269" s="28">
        <f t="shared" si="51"/>
        <v>32633</v>
      </c>
      <c r="H269" s="28">
        <f t="shared" si="51"/>
        <v>32636</v>
      </c>
      <c r="I269" s="28">
        <f t="shared" si="51"/>
        <v>38754</v>
      </c>
      <c r="J269" s="28">
        <f t="shared" si="51"/>
        <v>40446</v>
      </c>
      <c r="K269" s="28">
        <f t="shared" si="51"/>
        <v>37292</v>
      </c>
      <c r="L269" s="28">
        <f t="shared" si="51"/>
        <v>134525</v>
      </c>
      <c r="M269" s="28">
        <f t="shared" si="51"/>
        <v>293942</v>
      </c>
      <c r="N269" s="28">
        <f t="shared" si="51"/>
        <v>84722</v>
      </c>
      <c r="O269" s="28">
        <f t="shared" si="51"/>
        <v>109872</v>
      </c>
      <c r="P269" s="28">
        <f t="shared" si="51"/>
        <v>156610</v>
      </c>
      <c r="Q269" s="28">
        <f t="shared" si="51"/>
        <v>177702</v>
      </c>
      <c r="R269" s="28">
        <f t="shared" si="51"/>
        <v>191971</v>
      </c>
      <c r="S269" s="28">
        <f t="shared" si="51"/>
        <v>192727</v>
      </c>
      <c r="T269" s="28">
        <f t="shared" si="51"/>
        <v>175673</v>
      </c>
      <c r="U269" s="28">
        <f t="shared" si="51"/>
        <v>177416</v>
      </c>
      <c r="V269" s="28">
        <f t="shared" si="51"/>
        <v>118659</v>
      </c>
    </row>
    <row r="270" spans="1:22" ht="38.25" x14ac:dyDescent="0.2">
      <c r="A270" s="28" t="s">
        <v>261</v>
      </c>
      <c r="B270" s="28" t="s">
        <v>263</v>
      </c>
      <c r="C270" s="28">
        <f t="shared" ref="C270:V270" si="52">C273+C288+C291+C293</f>
        <v>17314</v>
      </c>
      <c r="D270" s="28">
        <f t="shared" si="52"/>
        <v>7541</v>
      </c>
      <c r="E270" s="28">
        <f t="shared" si="52"/>
        <v>13050</v>
      </c>
      <c r="F270" s="28">
        <f t="shared" si="52"/>
        <v>13342</v>
      </c>
      <c r="G270" s="28">
        <f t="shared" si="52"/>
        <v>19727</v>
      </c>
      <c r="H270" s="28">
        <f t="shared" si="52"/>
        <v>17680</v>
      </c>
      <c r="I270" s="28">
        <f t="shared" si="52"/>
        <v>22778</v>
      </c>
      <c r="J270" s="28">
        <f t="shared" si="52"/>
        <v>27658</v>
      </c>
      <c r="K270" s="28">
        <f t="shared" si="52"/>
        <v>26280</v>
      </c>
      <c r="L270" s="28">
        <f t="shared" si="52"/>
        <v>123647</v>
      </c>
      <c r="M270" s="28">
        <f t="shared" si="52"/>
        <v>281700</v>
      </c>
      <c r="N270" s="28">
        <f t="shared" si="52"/>
        <v>54531</v>
      </c>
      <c r="O270" s="28">
        <f t="shared" si="52"/>
        <v>94749</v>
      </c>
      <c r="P270" s="28">
        <f t="shared" si="52"/>
        <v>139977</v>
      </c>
      <c r="Q270" s="28">
        <f t="shared" si="52"/>
        <v>162022</v>
      </c>
      <c r="R270" s="28">
        <f t="shared" si="52"/>
        <v>174809</v>
      </c>
      <c r="S270" s="28">
        <f t="shared" si="52"/>
        <v>174440</v>
      </c>
      <c r="T270" s="28">
        <f t="shared" si="52"/>
        <v>156394</v>
      </c>
      <c r="U270" s="28">
        <f t="shared" si="52"/>
        <v>161310</v>
      </c>
      <c r="V270" s="28">
        <f t="shared" si="52"/>
        <v>94547</v>
      </c>
    </row>
    <row r="271" spans="1:22" ht="51" x14ac:dyDescent="0.2">
      <c r="A271" s="28" t="s">
        <v>261</v>
      </c>
      <c r="B271" s="28" t="s">
        <v>264</v>
      </c>
      <c r="C271" s="28">
        <f t="shared" ref="C271:V271" si="53">C273+C285+C289-C288-C291</f>
        <v>18448</v>
      </c>
      <c r="D271" s="28">
        <f t="shared" si="53"/>
        <v>10401</v>
      </c>
      <c r="E271" s="28">
        <f t="shared" si="53"/>
        <v>16079</v>
      </c>
      <c r="F271" s="28">
        <f t="shared" si="53"/>
        <v>14387</v>
      </c>
      <c r="G271" s="28">
        <f t="shared" si="53"/>
        <v>18164</v>
      </c>
      <c r="H271" s="28">
        <f t="shared" si="53"/>
        <v>17064</v>
      </c>
      <c r="I271" s="28">
        <f t="shared" si="53"/>
        <v>15522</v>
      </c>
      <c r="J271" s="28">
        <f t="shared" si="53"/>
        <v>20193</v>
      </c>
      <c r="K271" s="28">
        <f t="shared" si="53"/>
        <v>14459</v>
      </c>
      <c r="L271" s="28">
        <f t="shared" si="53"/>
        <v>109060</v>
      </c>
      <c r="M271" s="28">
        <f t="shared" si="53"/>
        <v>275799</v>
      </c>
      <c r="N271" s="28">
        <f t="shared" si="53"/>
        <v>26488</v>
      </c>
      <c r="O271" s="28">
        <f t="shared" si="53"/>
        <v>89272</v>
      </c>
      <c r="P271" s="28">
        <f t="shared" si="53"/>
        <v>139629</v>
      </c>
      <c r="Q271" s="28">
        <f t="shared" si="53"/>
        <v>163351</v>
      </c>
      <c r="R271" s="28">
        <f t="shared" si="53"/>
        <v>175156</v>
      </c>
      <c r="S271" s="28">
        <f t="shared" si="53"/>
        <v>174600</v>
      </c>
      <c r="T271" s="28">
        <f t="shared" si="53"/>
        <v>155755</v>
      </c>
      <c r="U271" s="28">
        <f t="shared" si="53"/>
        <v>159252</v>
      </c>
      <c r="V271" s="28">
        <f t="shared" si="53"/>
        <v>95088</v>
      </c>
    </row>
    <row r="272" spans="1:22" ht="63.75" x14ac:dyDescent="0.2">
      <c r="A272" s="28" t="s">
        <v>261</v>
      </c>
      <c r="B272" s="28" t="s">
        <v>265</v>
      </c>
      <c r="C272" s="28">
        <f t="shared" ref="C272:V272" si="54">C273+C285+C289</f>
        <v>28638</v>
      </c>
      <c r="D272" s="28">
        <f t="shared" si="54"/>
        <v>19912</v>
      </c>
      <c r="E272" s="28">
        <f t="shared" si="54"/>
        <v>25121</v>
      </c>
      <c r="F272" s="28">
        <f t="shared" si="54"/>
        <v>23911</v>
      </c>
      <c r="G272" s="28">
        <f t="shared" si="54"/>
        <v>32008</v>
      </c>
      <c r="H272" s="28">
        <f t="shared" si="54"/>
        <v>30619</v>
      </c>
      <c r="I272" s="28">
        <f t="shared" si="54"/>
        <v>35728</v>
      </c>
      <c r="J272" s="28">
        <f t="shared" si="54"/>
        <v>40008</v>
      </c>
      <c r="K272" s="28">
        <f t="shared" si="54"/>
        <v>36412</v>
      </c>
      <c r="L272" s="28">
        <f t="shared" si="54"/>
        <v>134085</v>
      </c>
      <c r="M272" s="28">
        <f t="shared" si="54"/>
        <v>293312</v>
      </c>
      <c r="N272" s="28">
        <f t="shared" si="54"/>
        <v>68310</v>
      </c>
      <c r="O272" s="28">
        <f t="shared" si="54"/>
        <v>107720</v>
      </c>
      <c r="P272" s="28">
        <f t="shared" si="54"/>
        <v>152540</v>
      </c>
      <c r="Q272" s="28">
        <f t="shared" si="54"/>
        <v>174440</v>
      </c>
      <c r="R272" s="28">
        <f t="shared" si="54"/>
        <v>186656</v>
      </c>
      <c r="S272" s="28">
        <f t="shared" si="54"/>
        <v>186097</v>
      </c>
      <c r="T272" s="28">
        <f t="shared" si="54"/>
        <v>166868</v>
      </c>
      <c r="U272" s="28">
        <f t="shared" si="54"/>
        <v>170265</v>
      </c>
      <c r="V272" s="28">
        <f t="shared" si="54"/>
        <v>107021</v>
      </c>
    </row>
    <row r="273" spans="1:22" ht="51" x14ac:dyDescent="0.2">
      <c r="A273" s="28" t="s">
        <v>261</v>
      </c>
      <c r="B273" s="28" t="s">
        <v>266</v>
      </c>
      <c r="C273" s="28">
        <f t="shared" ref="C273:V273" si="55">SUM(C274:C284)</f>
        <v>7108</v>
      </c>
      <c r="D273" s="28">
        <f t="shared" si="55"/>
        <v>-1980</v>
      </c>
      <c r="E273" s="28">
        <f t="shared" si="55"/>
        <v>3994</v>
      </c>
      <c r="F273" s="28">
        <f t="shared" si="55"/>
        <v>3807</v>
      </c>
      <c r="G273" s="28">
        <f t="shared" si="55"/>
        <v>5869</v>
      </c>
      <c r="H273" s="28">
        <f t="shared" si="55"/>
        <v>4122</v>
      </c>
      <c r="I273" s="28">
        <f t="shared" si="55"/>
        <v>2572</v>
      </c>
      <c r="J273" s="28">
        <f t="shared" si="55"/>
        <v>7843</v>
      </c>
      <c r="K273" s="28">
        <f t="shared" si="55"/>
        <v>4325</v>
      </c>
      <c r="L273" s="28">
        <f t="shared" si="55"/>
        <v>98604</v>
      </c>
      <c r="M273" s="28">
        <f t="shared" si="55"/>
        <v>264151</v>
      </c>
      <c r="N273" s="28">
        <f t="shared" si="55"/>
        <v>12680</v>
      </c>
      <c r="O273" s="28">
        <f t="shared" si="55"/>
        <v>76262</v>
      </c>
      <c r="P273" s="28">
        <f t="shared" si="55"/>
        <v>127012</v>
      </c>
      <c r="Q273" s="28">
        <f t="shared" si="55"/>
        <v>150902</v>
      </c>
      <c r="R273" s="28">
        <f t="shared" si="55"/>
        <v>163293</v>
      </c>
      <c r="S273" s="28">
        <f t="shared" si="55"/>
        <v>162890</v>
      </c>
      <c r="T273" s="28">
        <f t="shared" si="55"/>
        <v>145254</v>
      </c>
      <c r="U273" s="28">
        <f t="shared" si="55"/>
        <v>150263</v>
      </c>
      <c r="V273" s="28">
        <f t="shared" si="55"/>
        <v>82582</v>
      </c>
    </row>
    <row r="274" spans="1:22" ht="38.25" x14ac:dyDescent="0.2">
      <c r="A274" s="28" t="s">
        <v>261</v>
      </c>
      <c r="B274" s="28" t="s">
        <v>267</v>
      </c>
      <c r="C274" s="28">
        <v>0</v>
      </c>
      <c r="D274" s="28">
        <v>-4959</v>
      </c>
      <c r="E274" s="28">
        <v>0</v>
      </c>
      <c r="F274" s="28">
        <v>0</v>
      </c>
      <c r="G274" s="28">
        <v>0</v>
      </c>
      <c r="H274" s="28">
        <v>0</v>
      </c>
      <c r="I274" s="28">
        <v>0</v>
      </c>
      <c r="J274" s="28">
        <v>0</v>
      </c>
      <c r="K274" s="28">
        <v>0</v>
      </c>
      <c r="L274" s="28">
        <f>53577+8901</f>
        <v>62478</v>
      </c>
      <c r="M274" s="28">
        <v>65035</v>
      </c>
      <c r="N274" s="28">
        <f>56078-142760</f>
        <v>-86682</v>
      </c>
      <c r="O274" s="28">
        <f>50993-27270</f>
        <v>23723</v>
      </c>
      <c r="P274" s="28">
        <f>39339-5980</f>
        <v>33359</v>
      </c>
      <c r="Q274" s="28">
        <v>45658</v>
      </c>
      <c r="R274" s="28">
        <v>29318</v>
      </c>
      <c r="S274" s="28">
        <v>24832</v>
      </c>
      <c r="T274" s="28">
        <v>28690</v>
      </c>
      <c r="U274" s="28">
        <f>23311+2212</f>
        <v>25523</v>
      </c>
      <c r="V274" s="28">
        <v>10605</v>
      </c>
    </row>
    <row r="275" spans="1:22" ht="38.25" x14ac:dyDescent="0.2">
      <c r="A275" s="28" t="s">
        <v>261</v>
      </c>
      <c r="B275" s="28" t="s">
        <v>268</v>
      </c>
      <c r="C275" s="28">
        <v>0</v>
      </c>
      <c r="D275" s="28">
        <v>0</v>
      </c>
      <c r="E275" s="28">
        <v>0</v>
      </c>
      <c r="F275" s="28">
        <v>0</v>
      </c>
      <c r="G275" s="28">
        <v>0</v>
      </c>
      <c r="H275" s="28">
        <v>0</v>
      </c>
      <c r="I275" s="28">
        <v>0</v>
      </c>
      <c r="J275" s="28">
        <v>0</v>
      </c>
      <c r="K275" s="28">
        <v>0</v>
      </c>
      <c r="L275" s="28">
        <v>0</v>
      </c>
      <c r="M275" s="28">
        <f>142760</f>
        <v>142760</v>
      </c>
      <c r="N275" s="28">
        <f>10675+27270</f>
        <v>37945</v>
      </c>
      <c r="O275" s="28">
        <v>15729</v>
      </c>
      <c r="P275" s="28">
        <f>59878+17848</f>
        <v>77726</v>
      </c>
      <c r="Q275" s="28">
        <v>71741</v>
      </c>
      <c r="R275" s="28">
        <v>96235</v>
      </c>
      <c r="S275" s="28">
        <v>95827</v>
      </c>
      <c r="T275" s="28">
        <f>79491+428</f>
        <v>79919</v>
      </c>
      <c r="U275" s="28">
        <v>95086</v>
      </c>
      <c r="V275" s="28">
        <v>40820</v>
      </c>
    </row>
    <row r="276" spans="1:22" ht="38.25" x14ac:dyDescent="0.2">
      <c r="A276" s="28" t="s">
        <v>261</v>
      </c>
      <c r="B276" s="28" t="s">
        <v>269</v>
      </c>
      <c r="C276" s="28">
        <v>0</v>
      </c>
      <c r="D276" s="28">
        <v>0</v>
      </c>
      <c r="E276" s="28">
        <v>0</v>
      </c>
      <c r="F276" s="28">
        <v>0</v>
      </c>
      <c r="G276" s="28">
        <v>43</v>
      </c>
      <c r="H276" s="28">
        <v>0</v>
      </c>
      <c r="I276" s="28">
        <v>0</v>
      </c>
      <c r="J276" s="28">
        <v>138</v>
      </c>
      <c r="K276" s="28">
        <v>47</v>
      </c>
      <c r="L276" s="28">
        <v>1032</v>
      </c>
      <c r="M276" s="28">
        <v>1525</v>
      </c>
      <c r="N276" s="28">
        <v>1688</v>
      </c>
      <c r="O276" s="28">
        <v>1874</v>
      </c>
      <c r="P276" s="28">
        <v>1993</v>
      </c>
      <c r="Q276" s="28">
        <v>1976</v>
      </c>
      <c r="R276" s="28">
        <v>2014</v>
      </c>
      <c r="S276" s="28">
        <v>1635</v>
      </c>
      <c r="T276" s="28">
        <v>1585</v>
      </c>
      <c r="U276" s="28">
        <v>1311</v>
      </c>
      <c r="V276" s="28">
        <v>1792</v>
      </c>
    </row>
    <row r="277" spans="1:22" ht="38.25" x14ac:dyDescent="0.2">
      <c r="A277" s="28" t="s">
        <v>261</v>
      </c>
      <c r="B277" s="28" t="s">
        <v>270</v>
      </c>
      <c r="C277" s="28">
        <v>0</v>
      </c>
      <c r="D277" s="28">
        <v>0</v>
      </c>
      <c r="E277" s="28">
        <v>293</v>
      </c>
      <c r="F277" s="28">
        <v>0</v>
      </c>
      <c r="G277" s="28">
        <v>0</v>
      </c>
      <c r="H277" s="28">
        <v>0</v>
      </c>
      <c r="I277" s="28">
        <v>0</v>
      </c>
      <c r="J277" s="28">
        <v>0</v>
      </c>
      <c r="K277" s="28">
        <v>0</v>
      </c>
      <c r="L277" s="28">
        <v>1339</v>
      </c>
      <c r="M277" s="28">
        <f>2886+28</f>
        <v>2914</v>
      </c>
      <c r="N277" s="28">
        <v>2389</v>
      </c>
      <c r="O277" s="28">
        <v>2033</v>
      </c>
      <c r="P277" s="28">
        <v>1804</v>
      </c>
      <c r="Q277" s="28">
        <v>2126</v>
      </c>
      <c r="R277" s="28">
        <v>2015</v>
      </c>
      <c r="S277" s="28">
        <v>2407</v>
      </c>
      <c r="T277" s="28">
        <v>1962</v>
      </c>
      <c r="U277" s="28">
        <v>2254</v>
      </c>
      <c r="V277" s="28">
        <v>2004</v>
      </c>
    </row>
    <row r="278" spans="1:22" ht="63.75" x14ac:dyDescent="0.2">
      <c r="A278" s="28" t="s">
        <v>261</v>
      </c>
      <c r="B278" s="28" t="s">
        <v>271</v>
      </c>
      <c r="C278" s="28">
        <v>4689</v>
      </c>
      <c r="D278" s="28">
        <v>0</v>
      </c>
      <c r="E278" s="28">
        <v>0</v>
      </c>
      <c r="F278" s="28">
        <v>0</v>
      </c>
      <c r="G278" s="28">
        <v>0</v>
      </c>
      <c r="H278" s="28">
        <v>0</v>
      </c>
      <c r="I278" s="28">
        <v>0</v>
      </c>
      <c r="J278" s="28">
        <v>0</v>
      </c>
      <c r="K278" s="28">
        <v>0</v>
      </c>
      <c r="L278" s="28">
        <v>17359</v>
      </c>
      <c r="M278" s="28">
        <v>20855</v>
      </c>
      <c r="N278" s="28">
        <v>19190</v>
      </c>
      <c r="O278" s="28">
        <v>9378</v>
      </c>
      <c r="P278" s="28">
        <f>1165-11953</f>
        <v>-10788</v>
      </c>
      <c r="Q278" s="28">
        <v>1036</v>
      </c>
      <c r="R278" s="28">
        <v>1336</v>
      </c>
      <c r="S278" s="28">
        <v>1538</v>
      </c>
      <c r="T278" s="28">
        <v>973</v>
      </c>
      <c r="U278" s="28">
        <v>778</v>
      </c>
      <c r="V278" s="28">
        <v>575</v>
      </c>
    </row>
    <row r="279" spans="1:22" ht="38.25" x14ac:dyDescent="0.2">
      <c r="A279" s="28" t="s">
        <v>261</v>
      </c>
      <c r="B279" s="28" t="s">
        <v>272</v>
      </c>
      <c r="C279" s="28">
        <v>1153</v>
      </c>
      <c r="D279" s="28">
        <v>1517</v>
      </c>
      <c r="E279" s="28">
        <v>1817</v>
      </c>
      <c r="F279" s="28">
        <v>1055</v>
      </c>
      <c r="G279" s="28">
        <v>1126</v>
      </c>
      <c r="H279" s="28">
        <v>936</v>
      </c>
      <c r="I279" s="28">
        <v>765</v>
      </c>
      <c r="J279" s="28">
        <v>6087</v>
      </c>
      <c r="K279" s="28">
        <v>2506</v>
      </c>
      <c r="L279" s="28">
        <v>2477</v>
      </c>
      <c r="M279" s="28">
        <f>2192+2868</f>
        <v>5060</v>
      </c>
      <c r="N279" s="28">
        <v>2539</v>
      </c>
      <c r="O279" s="28">
        <v>2344</v>
      </c>
      <c r="P279" s="28">
        <v>2695</v>
      </c>
      <c r="Q279" s="28">
        <v>2884</v>
      </c>
      <c r="R279" s="28">
        <f>3996+217</f>
        <v>4213</v>
      </c>
      <c r="S279" s="28">
        <v>4316</v>
      </c>
      <c r="T279" s="28">
        <f>3655+3225</f>
        <v>6880</v>
      </c>
      <c r="U279" s="28">
        <f>3256</f>
        <v>3256</v>
      </c>
      <c r="V279" s="28">
        <f>3119+21</f>
        <v>3140</v>
      </c>
    </row>
    <row r="280" spans="1:22" ht="51" x14ac:dyDescent="0.2">
      <c r="A280" s="28" t="s">
        <v>261</v>
      </c>
      <c r="B280" s="28" t="s">
        <v>273</v>
      </c>
      <c r="C280" s="28">
        <v>268</v>
      </c>
      <c r="D280" s="28">
        <v>392</v>
      </c>
      <c r="E280" s="28">
        <v>334</v>
      </c>
      <c r="F280" s="28">
        <v>608</v>
      </c>
      <c r="G280" s="28">
        <v>443</v>
      </c>
      <c r="H280" s="28">
        <v>381</v>
      </c>
      <c r="I280" s="28">
        <v>354</v>
      </c>
      <c r="J280" s="28">
        <v>334</v>
      </c>
      <c r="K280" s="28">
        <v>490</v>
      </c>
      <c r="L280" s="28">
        <v>1455</v>
      </c>
      <c r="M280" s="28">
        <v>3078</v>
      </c>
      <c r="N280" s="28">
        <v>4813</v>
      </c>
      <c r="O280" s="28">
        <v>2802</v>
      </c>
      <c r="P280" s="28">
        <v>3185</v>
      </c>
      <c r="Q280" s="28">
        <f>3519-208</f>
        <v>3311</v>
      </c>
      <c r="R280" s="28">
        <v>3751</v>
      </c>
      <c r="S280" s="28">
        <v>2865</v>
      </c>
      <c r="T280" s="28">
        <v>646</v>
      </c>
      <c r="U280" s="28">
        <v>563</v>
      </c>
      <c r="V280" s="28">
        <v>631</v>
      </c>
    </row>
    <row r="281" spans="1:22" ht="38.25" x14ac:dyDescent="0.2">
      <c r="A281" s="28" t="s">
        <v>261</v>
      </c>
      <c r="B281" s="28" t="s">
        <v>274</v>
      </c>
      <c r="C281" s="28">
        <v>919</v>
      </c>
      <c r="D281" s="28">
        <v>897</v>
      </c>
      <c r="E281" s="28">
        <v>1422</v>
      </c>
      <c r="F281" s="28">
        <v>1889</v>
      </c>
      <c r="G281" s="28">
        <v>4115</v>
      </c>
      <c r="H281" s="28">
        <v>2602</v>
      </c>
      <c r="I281" s="28">
        <v>1297</v>
      </c>
      <c r="J281" s="28">
        <v>1163</v>
      </c>
      <c r="K281" s="28">
        <v>958</v>
      </c>
      <c r="L281" s="28">
        <v>1186</v>
      </c>
      <c r="M281" s="28">
        <v>1438</v>
      </c>
      <c r="N281" s="28">
        <v>1195</v>
      </c>
      <c r="O281" s="28">
        <v>1175</v>
      </c>
      <c r="P281" s="28">
        <v>1233</v>
      </c>
      <c r="Q281" s="28">
        <f>1945+2</f>
        <v>1947</v>
      </c>
      <c r="R281" s="28">
        <v>1929</v>
      </c>
      <c r="S281" s="28">
        <v>2736</v>
      </c>
      <c r="T281" s="28">
        <v>1696</v>
      </c>
      <c r="U281" s="28">
        <v>1191</v>
      </c>
      <c r="V281" s="28">
        <v>1506</v>
      </c>
    </row>
    <row r="282" spans="1:22" ht="51" x14ac:dyDescent="0.2">
      <c r="A282" s="28" t="s">
        <v>261</v>
      </c>
      <c r="B282" s="28" t="s">
        <v>275</v>
      </c>
      <c r="C282" s="28">
        <v>0</v>
      </c>
      <c r="D282" s="28">
        <v>0</v>
      </c>
      <c r="E282" s="28">
        <v>0</v>
      </c>
      <c r="F282" s="28">
        <v>0</v>
      </c>
      <c r="G282" s="28">
        <v>0</v>
      </c>
      <c r="H282" s="28">
        <v>0</v>
      </c>
      <c r="I282" s="28">
        <v>0</v>
      </c>
      <c r="J282" s="28">
        <v>0</v>
      </c>
      <c r="K282" s="28">
        <v>0</v>
      </c>
      <c r="L282" s="28">
        <v>11008</v>
      </c>
      <c r="M282" s="28">
        <v>20935</v>
      </c>
      <c r="N282" s="28">
        <v>27283</v>
      </c>
      <c r="O282" s="28">
        <v>15895</v>
      </c>
      <c r="P282" s="28">
        <v>15250</v>
      </c>
      <c r="Q282" s="28">
        <f>19320+493</f>
        <v>19813</v>
      </c>
      <c r="R282" s="28">
        <v>21630</v>
      </c>
      <c r="S282" s="28">
        <v>25619</v>
      </c>
      <c r="T282" s="28">
        <v>22078</v>
      </c>
      <c r="U282" s="28">
        <v>19755</v>
      </c>
      <c r="V282" s="28">
        <v>21168</v>
      </c>
    </row>
    <row r="283" spans="1:22" ht="51" x14ac:dyDescent="0.2">
      <c r="A283" s="28" t="s">
        <v>261</v>
      </c>
      <c r="B283" s="28" t="s">
        <v>276</v>
      </c>
      <c r="C283" s="28">
        <v>79</v>
      </c>
      <c r="D283" s="28">
        <v>173</v>
      </c>
      <c r="E283" s="28">
        <v>110</v>
      </c>
      <c r="F283" s="28">
        <v>252</v>
      </c>
      <c r="G283" s="28">
        <v>141</v>
      </c>
      <c r="H283" s="28">
        <v>202</v>
      </c>
      <c r="I283" s="28">
        <v>153</v>
      </c>
      <c r="J283" s="28">
        <v>118</v>
      </c>
      <c r="K283" s="28">
        <v>324</v>
      </c>
      <c r="L283" s="28">
        <v>270</v>
      </c>
      <c r="M283" s="28">
        <v>542</v>
      </c>
      <c r="N283" s="28">
        <v>1196</v>
      </c>
      <c r="O283" s="28">
        <v>1308</v>
      </c>
      <c r="P283" s="28">
        <v>550</v>
      </c>
      <c r="Q283" s="28">
        <v>410</v>
      </c>
      <c r="R283" s="28">
        <v>762</v>
      </c>
      <c r="S283" s="28">
        <v>639</v>
      </c>
      <c r="T283" s="28">
        <v>732</v>
      </c>
      <c r="U283" s="28">
        <v>506</v>
      </c>
      <c r="V283" s="28">
        <v>315</v>
      </c>
    </row>
    <row r="284" spans="1:22" ht="38.25" x14ac:dyDescent="0.2">
      <c r="A284" s="28" t="s">
        <v>261</v>
      </c>
      <c r="B284" s="28" t="s">
        <v>277</v>
      </c>
      <c r="C284" s="28">
        <v>0</v>
      </c>
      <c r="D284" s="28">
        <v>0</v>
      </c>
      <c r="E284" s="28">
        <v>18</v>
      </c>
      <c r="F284" s="28">
        <v>3</v>
      </c>
      <c r="G284" s="28">
        <v>1</v>
      </c>
      <c r="H284" s="28">
        <v>1</v>
      </c>
      <c r="I284" s="28">
        <v>3</v>
      </c>
      <c r="J284" s="28">
        <v>3</v>
      </c>
      <c r="K284" s="28">
        <v>0</v>
      </c>
      <c r="L284" s="28">
        <v>0</v>
      </c>
      <c r="M284" s="28">
        <v>9</v>
      </c>
      <c r="N284" s="28">
        <v>1124</v>
      </c>
      <c r="O284" s="28">
        <v>1</v>
      </c>
      <c r="P284" s="28">
        <v>5</v>
      </c>
      <c r="Q284" s="28">
        <v>0</v>
      </c>
      <c r="R284" s="28">
        <v>90</v>
      </c>
      <c r="S284" s="28">
        <f>479-3</f>
        <v>476</v>
      </c>
      <c r="T284" s="28">
        <v>93</v>
      </c>
      <c r="U284" s="28">
        <v>40</v>
      </c>
      <c r="V284" s="28">
        <v>26</v>
      </c>
    </row>
    <row r="285" spans="1:22" s="5" customFormat="1" ht="38.25" x14ac:dyDescent="0.2">
      <c r="A285" s="28" t="s">
        <v>261</v>
      </c>
      <c r="B285" s="28" t="s">
        <v>278</v>
      </c>
      <c r="C285" s="28">
        <f t="shared" ref="C285:V285" si="56">SUM(C286:C288)</f>
        <v>19519</v>
      </c>
      <c r="D285" s="28">
        <f t="shared" si="56"/>
        <v>19983</v>
      </c>
      <c r="E285" s="28">
        <f t="shared" si="56"/>
        <v>18831</v>
      </c>
      <c r="F285" s="28">
        <f t="shared" si="56"/>
        <v>17897</v>
      </c>
      <c r="G285" s="28">
        <f t="shared" si="56"/>
        <v>22919</v>
      </c>
      <c r="H285" s="28">
        <f t="shared" si="56"/>
        <v>23425</v>
      </c>
      <c r="I285" s="28">
        <f t="shared" si="56"/>
        <v>30446</v>
      </c>
      <c r="J285" s="28">
        <f t="shared" si="56"/>
        <v>29766</v>
      </c>
      <c r="K285" s="28">
        <f t="shared" si="56"/>
        <v>30791</v>
      </c>
      <c r="L285" s="28">
        <f t="shared" si="56"/>
        <v>34538</v>
      </c>
      <c r="M285" s="28">
        <f t="shared" si="56"/>
        <v>28010</v>
      </c>
      <c r="N285" s="28">
        <f t="shared" si="56"/>
        <v>54279</v>
      </c>
      <c r="O285" s="28">
        <f t="shared" si="56"/>
        <v>29961</v>
      </c>
      <c r="P285" s="28">
        <f t="shared" si="56"/>
        <v>24334</v>
      </c>
      <c r="Q285" s="28">
        <f t="shared" si="56"/>
        <v>22578</v>
      </c>
      <c r="R285" s="28">
        <f t="shared" si="56"/>
        <v>22362</v>
      </c>
      <c r="S285" s="28">
        <f t="shared" si="56"/>
        <v>21852</v>
      </c>
      <c r="T285" s="28">
        <f t="shared" si="56"/>
        <v>20194</v>
      </c>
      <c r="U285" s="28">
        <f t="shared" si="56"/>
        <v>19201</v>
      </c>
      <c r="V285" s="28">
        <f t="shared" si="56"/>
        <v>23398</v>
      </c>
    </row>
    <row r="286" spans="1:22" ht="63.75" x14ac:dyDescent="0.2">
      <c r="A286" s="28" t="s">
        <v>261</v>
      </c>
      <c r="B286" s="28" t="s">
        <v>279</v>
      </c>
      <c r="C286" s="28">
        <v>2010</v>
      </c>
      <c r="D286" s="28">
        <v>1765</v>
      </c>
      <c r="E286" s="28">
        <v>1111</v>
      </c>
      <c r="F286" s="28">
        <v>863</v>
      </c>
      <c r="G286" s="28">
        <v>778</v>
      </c>
      <c r="H286" s="28">
        <v>834</v>
      </c>
      <c r="I286" s="28">
        <v>931</v>
      </c>
      <c r="J286" s="28">
        <v>1077</v>
      </c>
      <c r="K286" s="28">
        <v>1020</v>
      </c>
      <c r="L286" s="28">
        <v>1013</v>
      </c>
      <c r="M286" s="28">
        <v>1312</v>
      </c>
      <c r="N286" s="28">
        <v>1607</v>
      </c>
      <c r="O286" s="28">
        <v>1928</v>
      </c>
      <c r="P286" s="28">
        <v>1801</v>
      </c>
      <c r="Q286" s="28">
        <v>1662</v>
      </c>
      <c r="R286" s="28">
        <v>1555</v>
      </c>
      <c r="S286" s="28">
        <v>1936</v>
      </c>
      <c r="T286" s="28">
        <f>1930+181</f>
        <v>2111</v>
      </c>
      <c r="U286" s="28">
        <v>1948</v>
      </c>
      <c r="V286" s="28">
        <v>2569</v>
      </c>
    </row>
    <row r="287" spans="1:22" ht="51" x14ac:dyDescent="0.2">
      <c r="A287" s="28" t="s">
        <v>261</v>
      </c>
      <c r="B287" s="28" t="s">
        <v>280</v>
      </c>
      <c r="C287" s="28">
        <v>7507</v>
      </c>
      <c r="D287" s="28">
        <v>8924</v>
      </c>
      <c r="E287" s="28">
        <f>8158+802</f>
        <v>8960</v>
      </c>
      <c r="F287" s="28">
        <v>7677</v>
      </c>
      <c r="G287" s="28">
        <v>8922</v>
      </c>
      <c r="H287" s="28">
        <v>9421</v>
      </c>
      <c r="I287" s="28">
        <f>9757-3</f>
        <v>9754</v>
      </c>
      <c r="J287" s="28">
        <v>9200</v>
      </c>
      <c r="K287" s="28">
        <v>8186</v>
      </c>
      <c r="L287" s="28">
        <f>8657+112</f>
        <v>8769</v>
      </c>
      <c r="M287" s="28">
        <v>9649</v>
      </c>
      <c r="N287" s="28">
        <v>11353</v>
      </c>
      <c r="O287" s="28">
        <v>10236</v>
      </c>
      <c r="P287" s="28">
        <v>9943</v>
      </c>
      <c r="Q287" s="28">
        <v>10072</v>
      </c>
      <c r="R287" s="28">
        <v>9485</v>
      </c>
      <c r="S287" s="28">
        <v>8759</v>
      </c>
      <c r="T287" s="28">
        <v>7130</v>
      </c>
      <c r="U287" s="28">
        <v>6447</v>
      </c>
      <c r="V287" s="28">
        <v>9137</v>
      </c>
    </row>
    <row r="288" spans="1:22" ht="63.75" x14ac:dyDescent="0.2">
      <c r="A288" s="28" t="s">
        <v>261</v>
      </c>
      <c r="B288" s="28" t="s">
        <v>281</v>
      </c>
      <c r="C288" s="28">
        <v>10002</v>
      </c>
      <c r="D288" s="28">
        <v>9294</v>
      </c>
      <c r="E288" s="28">
        <v>8760</v>
      </c>
      <c r="F288" s="28">
        <f>9355+2</f>
        <v>9357</v>
      </c>
      <c r="G288" s="28">
        <v>13219</v>
      </c>
      <c r="H288" s="28">
        <v>13170</v>
      </c>
      <c r="I288" s="28">
        <v>19761</v>
      </c>
      <c r="J288" s="28">
        <v>19489</v>
      </c>
      <c r="K288" s="28">
        <v>21585</v>
      </c>
      <c r="L288" s="28">
        <f>24753+3</f>
        <v>24756</v>
      </c>
      <c r="M288" s="28">
        <v>17049</v>
      </c>
      <c r="N288" s="28">
        <v>41319</v>
      </c>
      <c r="O288" s="28">
        <v>17797</v>
      </c>
      <c r="P288" s="28">
        <f>12528+62</f>
        <v>12590</v>
      </c>
      <c r="Q288" s="28">
        <v>10844</v>
      </c>
      <c r="R288" s="28">
        <v>11322</v>
      </c>
      <c r="S288" s="28">
        <v>11157</v>
      </c>
      <c r="T288" s="28">
        <f>10933+20</f>
        <v>10953</v>
      </c>
      <c r="U288" s="28">
        <f>10731+75</f>
        <v>10806</v>
      </c>
      <c r="V288" s="28">
        <v>11692</v>
      </c>
    </row>
    <row r="289" spans="1:23" s="5" customFormat="1" ht="51" x14ac:dyDescent="0.2">
      <c r="A289" s="28" t="s">
        <v>261</v>
      </c>
      <c r="B289" s="28" t="s">
        <v>282</v>
      </c>
      <c r="C289" s="28">
        <f t="shared" ref="C289:V289" si="57">SUM(C290:C291)</f>
        <v>2011</v>
      </c>
      <c r="D289" s="28">
        <f t="shared" si="57"/>
        <v>1909</v>
      </c>
      <c r="E289" s="28">
        <f t="shared" si="57"/>
        <v>2296</v>
      </c>
      <c r="F289" s="28">
        <f t="shared" si="57"/>
        <v>2207</v>
      </c>
      <c r="G289" s="28">
        <f t="shared" si="57"/>
        <v>3220</v>
      </c>
      <c r="H289" s="28">
        <f t="shared" si="57"/>
        <v>3072</v>
      </c>
      <c r="I289" s="28">
        <f t="shared" si="57"/>
        <v>2710</v>
      </c>
      <c r="J289" s="28">
        <f t="shared" si="57"/>
        <v>2399</v>
      </c>
      <c r="K289" s="28">
        <f t="shared" si="57"/>
        <v>1296</v>
      </c>
      <c r="L289" s="28">
        <f t="shared" si="57"/>
        <v>943</v>
      </c>
      <c r="M289" s="28">
        <f t="shared" si="57"/>
        <v>1151</v>
      </c>
      <c r="N289" s="28">
        <f t="shared" si="57"/>
        <v>1351</v>
      </c>
      <c r="O289" s="28">
        <f t="shared" si="57"/>
        <v>1497</v>
      </c>
      <c r="P289" s="28">
        <f t="shared" si="57"/>
        <v>1194</v>
      </c>
      <c r="Q289" s="28">
        <f t="shared" si="57"/>
        <v>960</v>
      </c>
      <c r="R289" s="28">
        <f t="shared" si="57"/>
        <v>1001</v>
      </c>
      <c r="S289" s="28">
        <f t="shared" si="57"/>
        <v>1355</v>
      </c>
      <c r="T289" s="28">
        <f t="shared" si="57"/>
        <v>1420</v>
      </c>
      <c r="U289" s="28">
        <f t="shared" si="57"/>
        <v>801</v>
      </c>
      <c r="V289" s="28">
        <f t="shared" si="57"/>
        <v>1041</v>
      </c>
    </row>
    <row r="290" spans="1:23" ht="51" x14ac:dyDescent="0.2">
      <c r="A290" s="28" t="s">
        <v>261</v>
      </c>
      <c r="B290" s="28" t="s">
        <v>283</v>
      </c>
      <c r="C290" s="28">
        <v>1823</v>
      </c>
      <c r="D290" s="28">
        <v>1692</v>
      </c>
      <c r="E290" s="28">
        <v>2014</v>
      </c>
      <c r="F290" s="28">
        <v>2040</v>
      </c>
      <c r="G290" s="28">
        <v>2595</v>
      </c>
      <c r="H290" s="28">
        <v>2687</v>
      </c>
      <c r="I290" s="28">
        <v>2265</v>
      </c>
      <c r="J290" s="28">
        <v>2073</v>
      </c>
      <c r="K290" s="28">
        <v>928</v>
      </c>
      <c r="L290" s="28">
        <v>674</v>
      </c>
      <c r="M290" s="28">
        <v>687</v>
      </c>
      <c r="N290" s="28">
        <v>848</v>
      </c>
      <c r="O290" s="28">
        <v>846</v>
      </c>
      <c r="P290" s="28">
        <v>873</v>
      </c>
      <c r="Q290" s="28">
        <v>715</v>
      </c>
      <c r="R290" s="28">
        <v>823</v>
      </c>
      <c r="S290" s="28">
        <v>1015</v>
      </c>
      <c r="T290" s="28">
        <f>593+667</f>
        <v>1260</v>
      </c>
      <c r="U290" s="28">
        <v>594</v>
      </c>
      <c r="V290" s="28">
        <v>800</v>
      </c>
    </row>
    <row r="291" spans="1:23" ht="51" x14ac:dyDescent="0.2">
      <c r="A291" s="28" t="s">
        <v>261</v>
      </c>
      <c r="B291" s="28" t="s">
        <v>284</v>
      </c>
      <c r="C291" s="28">
        <v>188</v>
      </c>
      <c r="D291" s="28">
        <v>217</v>
      </c>
      <c r="E291" s="28">
        <v>282</v>
      </c>
      <c r="F291" s="28">
        <v>167</v>
      </c>
      <c r="G291" s="28">
        <v>625</v>
      </c>
      <c r="H291" s="28">
        <v>385</v>
      </c>
      <c r="I291" s="28">
        <v>445</v>
      </c>
      <c r="J291" s="28">
        <v>326</v>
      </c>
      <c r="K291" s="28">
        <v>368</v>
      </c>
      <c r="L291" s="28">
        <v>269</v>
      </c>
      <c r="M291" s="28">
        <v>464</v>
      </c>
      <c r="N291" s="28">
        <v>503</v>
      </c>
      <c r="O291" s="28">
        <v>651</v>
      </c>
      <c r="P291" s="28">
        <v>321</v>
      </c>
      <c r="Q291" s="28">
        <v>245</v>
      </c>
      <c r="R291" s="28">
        <v>178</v>
      </c>
      <c r="S291" s="28">
        <f>280+60</f>
        <v>340</v>
      </c>
      <c r="T291" s="28">
        <v>160</v>
      </c>
      <c r="U291" s="28">
        <v>207</v>
      </c>
      <c r="V291" s="28">
        <f>235+6</f>
        <v>241</v>
      </c>
    </row>
    <row r="292" spans="1:23" ht="63.75" x14ac:dyDescent="0.2">
      <c r="A292" s="28" t="s">
        <v>261</v>
      </c>
      <c r="B292" s="28" t="s">
        <v>285</v>
      </c>
      <c r="C292" s="28">
        <f t="shared" ref="C292:V292" si="58">C293</f>
        <v>16</v>
      </c>
      <c r="D292" s="28">
        <f t="shared" si="58"/>
        <v>10</v>
      </c>
      <c r="E292" s="28">
        <f t="shared" si="58"/>
        <v>14</v>
      </c>
      <c r="F292" s="28">
        <f t="shared" si="58"/>
        <v>11</v>
      </c>
      <c r="G292" s="28">
        <f t="shared" si="58"/>
        <v>14</v>
      </c>
      <c r="H292" s="28">
        <f t="shared" si="58"/>
        <v>3</v>
      </c>
      <c r="I292" s="28">
        <f t="shared" si="58"/>
        <v>0</v>
      </c>
      <c r="J292" s="28">
        <f t="shared" si="58"/>
        <v>0</v>
      </c>
      <c r="K292" s="28">
        <f t="shared" si="58"/>
        <v>2</v>
      </c>
      <c r="L292" s="28">
        <f t="shared" si="58"/>
        <v>18</v>
      </c>
      <c r="M292" s="28">
        <f t="shared" si="58"/>
        <v>36</v>
      </c>
      <c r="N292" s="28">
        <f t="shared" si="58"/>
        <v>29</v>
      </c>
      <c r="O292" s="28">
        <f t="shared" si="58"/>
        <v>39</v>
      </c>
      <c r="P292" s="28">
        <f t="shared" si="58"/>
        <v>54</v>
      </c>
      <c r="Q292" s="28">
        <f t="shared" si="58"/>
        <v>31</v>
      </c>
      <c r="R292" s="28">
        <f t="shared" si="58"/>
        <v>16</v>
      </c>
      <c r="S292" s="28">
        <f t="shared" si="58"/>
        <v>53</v>
      </c>
      <c r="T292" s="28">
        <f t="shared" si="58"/>
        <v>27</v>
      </c>
      <c r="U292" s="28">
        <f t="shared" si="58"/>
        <v>34</v>
      </c>
      <c r="V292" s="28">
        <f t="shared" si="58"/>
        <v>32</v>
      </c>
    </row>
    <row r="293" spans="1:23" ht="51" x14ac:dyDescent="0.2">
      <c r="A293" s="28" t="s">
        <v>261</v>
      </c>
      <c r="B293" s="28" t="s">
        <v>286</v>
      </c>
      <c r="C293" s="28">
        <v>16</v>
      </c>
      <c r="D293" s="28">
        <v>10</v>
      </c>
      <c r="E293" s="28">
        <v>14</v>
      </c>
      <c r="F293" s="28">
        <v>11</v>
      </c>
      <c r="G293" s="28">
        <v>14</v>
      </c>
      <c r="H293" s="28">
        <v>3</v>
      </c>
      <c r="I293" s="28">
        <v>0</v>
      </c>
      <c r="J293" s="28">
        <v>0</v>
      </c>
      <c r="K293" s="28">
        <v>2</v>
      </c>
      <c r="L293" s="28">
        <v>18</v>
      </c>
      <c r="M293" s="28">
        <v>36</v>
      </c>
      <c r="N293" s="28">
        <v>29</v>
      </c>
      <c r="O293" s="28">
        <v>39</v>
      </c>
      <c r="P293" s="28">
        <v>54</v>
      </c>
      <c r="Q293" s="28">
        <v>31</v>
      </c>
      <c r="R293" s="28">
        <v>16</v>
      </c>
      <c r="S293" s="28">
        <v>53</v>
      </c>
      <c r="T293" s="28">
        <v>27</v>
      </c>
      <c r="U293" s="28">
        <v>34</v>
      </c>
      <c r="V293" s="28">
        <f>42-10</f>
        <v>32</v>
      </c>
    </row>
    <row r="294" spans="1:23" ht="38.25" x14ac:dyDescent="0.2">
      <c r="A294" s="28" t="s">
        <v>261</v>
      </c>
      <c r="B294" s="28" t="s">
        <v>287</v>
      </c>
      <c r="C294" s="28">
        <f t="shared" ref="C294:V294" si="59">SUM(C295:C305)</f>
        <v>847</v>
      </c>
      <c r="D294" s="28">
        <f t="shared" si="59"/>
        <v>958</v>
      </c>
      <c r="E294" s="28">
        <f t="shared" si="59"/>
        <v>413</v>
      </c>
      <c r="F294" s="28">
        <f t="shared" si="59"/>
        <v>428</v>
      </c>
      <c r="G294" s="28">
        <f t="shared" si="59"/>
        <v>577</v>
      </c>
      <c r="H294" s="28">
        <f t="shared" si="59"/>
        <v>516</v>
      </c>
      <c r="I294" s="28">
        <f t="shared" si="59"/>
        <v>652</v>
      </c>
      <c r="J294" s="28">
        <f t="shared" si="59"/>
        <v>427</v>
      </c>
      <c r="K294" s="28">
        <f t="shared" si="59"/>
        <v>266</v>
      </c>
      <c r="L294" s="28">
        <f t="shared" si="59"/>
        <v>364</v>
      </c>
      <c r="M294" s="28">
        <f t="shared" si="59"/>
        <v>240</v>
      </c>
      <c r="N294" s="28">
        <f t="shared" si="59"/>
        <v>195</v>
      </c>
      <c r="O294" s="28">
        <f t="shared" si="59"/>
        <v>355</v>
      </c>
      <c r="P294" s="28">
        <f t="shared" si="59"/>
        <v>322</v>
      </c>
      <c r="Q294" s="28">
        <f t="shared" si="59"/>
        <v>291</v>
      </c>
      <c r="R294" s="28">
        <f t="shared" si="59"/>
        <v>448</v>
      </c>
      <c r="S294" s="28">
        <f t="shared" si="59"/>
        <v>270</v>
      </c>
      <c r="T294" s="28">
        <f t="shared" si="59"/>
        <v>1051</v>
      </c>
      <c r="U294" s="28">
        <f t="shared" si="59"/>
        <v>328</v>
      </c>
      <c r="V294" s="28">
        <f t="shared" si="59"/>
        <v>259</v>
      </c>
      <c r="W294" s="5"/>
    </row>
    <row r="295" spans="1:23" ht="38.25" x14ac:dyDescent="0.2">
      <c r="A295" s="28" t="s">
        <v>261</v>
      </c>
      <c r="B295" s="28" t="s">
        <v>288</v>
      </c>
      <c r="C295" s="28">
        <v>0</v>
      </c>
      <c r="D295" s="28">
        <v>0</v>
      </c>
      <c r="E295" s="28">
        <v>0</v>
      </c>
      <c r="F295" s="28">
        <v>0</v>
      </c>
      <c r="G295" s="28">
        <v>0</v>
      </c>
      <c r="H295" s="28">
        <v>0</v>
      </c>
      <c r="I295" s="28">
        <v>0</v>
      </c>
      <c r="J295" s="28">
        <v>0</v>
      </c>
      <c r="K295" s="28">
        <v>0</v>
      </c>
      <c r="L295" s="28">
        <v>0</v>
      </c>
      <c r="M295" s="28">
        <v>0</v>
      </c>
      <c r="N295" s="28">
        <v>0</v>
      </c>
      <c r="O295" s="28">
        <v>11</v>
      </c>
      <c r="P295" s="28">
        <v>53</v>
      </c>
      <c r="Q295" s="28">
        <v>71</v>
      </c>
      <c r="R295" s="28">
        <v>37</v>
      </c>
      <c r="S295" s="28">
        <v>51</v>
      </c>
      <c r="T295" s="28">
        <v>35</v>
      </c>
      <c r="U295" s="28">
        <v>26</v>
      </c>
      <c r="V295" s="28">
        <v>53</v>
      </c>
    </row>
    <row r="296" spans="1:23" ht="38.25" x14ac:dyDescent="0.2">
      <c r="A296" s="28" t="s">
        <v>261</v>
      </c>
      <c r="B296" s="28" t="s">
        <v>289</v>
      </c>
      <c r="C296" s="28">
        <v>0</v>
      </c>
      <c r="D296" s="28">
        <v>0</v>
      </c>
      <c r="E296" s="28">
        <v>0</v>
      </c>
      <c r="F296" s="28">
        <v>0</v>
      </c>
      <c r="G296" s="28">
        <v>0</v>
      </c>
      <c r="H296" s="28">
        <v>0</v>
      </c>
      <c r="I296" s="28">
        <v>0</v>
      </c>
      <c r="J296" s="28">
        <v>0</v>
      </c>
      <c r="K296" s="28">
        <v>0</v>
      </c>
      <c r="L296" s="28">
        <v>0</v>
      </c>
      <c r="M296" s="28">
        <v>0</v>
      </c>
      <c r="N296" s="28">
        <v>0</v>
      </c>
      <c r="O296" s="28">
        <v>0</v>
      </c>
      <c r="P296" s="28">
        <v>2</v>
      </c>
      <c r="Q296" s="28">
        <v>1</v>
      </c>
      <c r="R296" s="28">
        <v>4</v>
      </c>
      <c r="S296" s="28">
        <v>5</v>
      </c>
      <c r="T296" s="28">
        <v>6</v>
      </c>
      <c r="U296" s="28">
        <v>1</v>
      </c>
      <c r="V296" s="28">
        <v>2</v>
      </c>
    </row>
    <row r="297" spans="1:23" ht="38.25" x14ac:dyDescent="0.2">
      <c r="A297" s="28" t="s">
        <v>261</v>
      </c>
      <c r="B297" s="28" t="s">
        <v>290</v>
      </c>
      <c r="C297" s="28">
        <v>231</v>
      </c>
      <c r="D297" s="28">
        <v>181</v>
      </c>
      <c r="E297" s="28">
        <v>159</v>
      </c>
      <c r="F297" s="28">
        <f>187+4</f>
        <v>191</v>
      </c>
      <c r="G297" s="28">
        <v>193</v>
      </c>
      <c r="H297" s="28">
        <v>181</v>
      </c>
      <c r="I297" s="28">
        <f>146+168</f>
        <v>314</v>
      </c>
      <c r="J297" s="28">
        <v>105</v>
      </c>
      <c r="K297" s="28">
        <v>78</v>
      </c>
      <c r="L297" s="28">
        <v>87</v>
      </c>
      <c r="M297" s="28">
        <v>80</v>
      </c>
      <c r="N297" s="28">
        <v>45</v>
      </c>
      <c r="O297" s="28">
        <v>160</v>
      </c>
      <c r="P297" s="28">
        <f>80+4</f>
        <v>84</v>
      </c>
      <c r="Q297" s="28">
        <v>159</v>
      </c>
      <c r="R297" s="28">
        <v>271</v>
      </c>
      <c r="S297" s="28">
        <v>140</v>
      </c>
      <c r="T297" s="28">
        <f>176+342</f>
        <v>518</v>
      </c>
      <c r="U297" s="28">
        <v>224</v>
      </c>
      <c r="V297" s="28">
        <v>98</v>
      </c>
    </row>
    <row r="298" spans="1:23" ht="38.25" x14ac:dyDescent="0.2">
      <c r="A298" s="28" t="s">
        <v>261</v>
      </c>
      <c r="B298" s="28" t="s">
        <v>291</v>
      </c>
      <c r="C298" s="28">
        <v>588</v>
      </c>
      <c r="D298" s="28">
        <v>664</v>
      </c>
      <c r="E298" s="28">
        <v>24</v>
      </c>
      <c r="F298" s="28">
        <v>11</v>
      </c>
      <c r="G298" s="28">
        <v>29</v>
      </c>
      <c r="H298" s="28">
        <v>20</v>
      </c>
      <c r="I298" s="28">
        <v>31</v>
      </c>
      <c r="J298" s="28">
        <v>55</v>
      </c>
      <c r="K298" s="28">
        <v>36</v>
      </c>
      <c r="L298" s="28">
        <v>48</v>
      </c>
      <c r="M298" s="28">
        <v>64</v>
      </c>
      <c r="N298" s="28">
        <v>63</v>
      </c>
      <c r="O298" s="28">
        <v>119</v>
      </c>
      <c r="P298" s="28">
        <f>102+10</f>
        <v>112</v>
      </c>
      <c r="Q298" s="28">
        <v>33</v>
      </c>
      <c r="R298" s="28">
        <v>71</v>
      </c>
      <c r="S298" s="28">
        <v>46</v>
      </c>
      <c r="T298" s="28">
        <f>136+314</f>
        <v>450</v>
      </c>
      <c r="U298" s="28">
        <v>52</v>
      </c>
      <c r="V298" s="28">
        <v>50</v>
      </c>
    </row>
    <row r="299" spans="1:23" ht="38.25" x14ac:dyDescent="0.2">
      <c r="A299" s="28" t="s">
        <v>261</v>
      </c>
      <c r="B299" s="28" t="s">
        <v>292</v>
      </c>
      <c r="C299" s="28">
        <v>0</v>
      </c>
      <c r="D299" s="28">
        <v>94</v>
      </c>
      <c r="E299" s="28">
        <v>172</v>
      </c>
      <c r="F299" s="28">
        <v>132</v>
      </c>
      <c r="G299" s="28">
        <v>183</v>
      </c>
      <c r="H299" s="28">
        <v>141</v>
      </c>
      <c r="I299" s="28">
        <v>126</v>
      </c>
      <c r="J299" s="28">
        <v>155</v>
      </c>
      <c r="K299" s="28">
        <v>89</v>
      </c>
      <c r="L299" s="28">
        <v>18</v>
      </c>
      <c r="M299" s="28">
        <v>10</v>
      </c>
      <c r="N299" s="28">
        <v>64</v>
      </c>
      <c r="O299" s="28">
        <v>3</v>
      </c>
      <c r="P299" s="28">
        <v>3</v>
      </c>
      <c r="Q299" s="28">
        <v>1</v>
      </c>
      <c r="R299" s="28">
        <v>5</v>
      </c>
      <c r="S299" s="28">
        <f>0+1</f>
        <v>1</v>
      </c>
      <c r="T299" s="28">
        <v>3</v>
      </c>
      <c r="U299" s="28">
        <v>1</v>
      </c>
      <c r="V299" s="28">
        <v>2</v>
      </c>
    </row>
    <row r="300" spans="1:23" ht="51" x14ac:dyDescent="0.2">
      <c r="A300" s="28" t="s">
        <v>261</v>
      </c>
      <c r="B300" s="28" t="s">
        <v>293</v>
      </c>
      <c r="C300" s="28">
        <v>0</v>
      </c>
      <c r="D300" s="28">
        <v>0</v>
      </c>
      <c r="E300" s="28">
        <v>0</v>
      </c>
      <c r="F300" s="28">
        <v>0</v>
      </c>
      <c r="G300" s="28">
        <v>0</v>
      </c>
      <c r="H300" s="28">
        <v>0</v>
      </c>
      <c r="I300" s="28">
        <v>0</v>
      </c>
      <c r="J300" s="28">
        <v>0</v>
      </c>
      <c r="K300" s="28">
        <v>0</v>
      </c>
      <c r="L300" s="28">
        <v>0</v>
      </c>
      <c r="M300" s="28">
        <v>77</v>
      </c>
      <c r="N300" s="28">
        <v>0</v>
      </c>
      <c r="O300" s="28">
        <v>2</v>
      </c>
      <c r="P300" s="28">
        <v>9</v>
      </c>
      <c r="Q300" s="28">
        <v>3</v>
      </c>
      <c r="R300" s="28">
        <v>4</v>
      </c>
      <c r="S300" s="28">
        <v>1</v>
      </c>
      <c r="T300" s="28">
        <v>9</v>
      </c>
      <c r="U300" s="28">
        <v>5</v>
      </c>
      <c r="V300" s="28">
        <v>1</v>
      </c>
    </row>
    <row r="301" spans="1:23" ht="38.25" x14ac:dyDescent="0.2">
      <c r="A301" s="28" t="s">
        <v>261</v>
      </c>
      <c r="B301" s="28" t="s">
        <v>294</v>
      </c>
      <c r="C301" s="28">
        <v>12</v>
      </c>
      <c r="D301" s="28">
        <v>11</v>
      </c>
      <c r="E301" s="28">
        <v>0</v>
      </c>
      <c r="F301" s="28">
        <v>6</v>
      </c>
      <c r="G301" s="28">
        <v>12</v>
      </c>
      <c r="H301" s="28">
        <v>3</v>
      </c>
      <c r="I301" s="28">
        <v>2</v>
      </c>
      <c r="J301" s="28">
        <v>5</v>
      </c>
      <c r="K301" s="28">
        <v>1</v>
      </c>
      <c r="L301" s="28">
        <v>0</v>
      </c>
      <c r="M301" s="28">
        <v>1</v>
      </c>
      <c r="N301" s="28">
        <v>11</v>
      </c>
      <c r="O301" s="28">
        <v>23</v>
      </c>
      <c r="P301" s="28">
        <v>26</v>
      </c>
      <c r="Q301" s="28">
        <v>13</v>
      </c>
      <c r="R301" s="28">
        <v>29</v>
      </c>
      <c r="S301" s="28">
        <v>20</v>
      </c>
      <c r="T301" s="28">
        <v>24</v>
      </c>
      <c r="U301" s="28">
        <v>10</v>
      </c>
      <c r="V301" s="28">
        <v>34</v>
      </c>
    </row>
    <row r="302" spans="1:23" ht="38.25" x14ac:dyDescent="0.2">
      <c r="A302" s="28" t="s">
        <v>261</v>
      </c>
      <c r="B302" s="28" t="s">
        <v>295</v>
      </c>
      <c r="C302" s="28">
        <v>6</v>
      </c>
      <c r="D302" s="28">
        <v>8</v>
      </c>
      <c r="E302" s="28">
        <v>13</v>
      </c>
      <c r="F302" s="28">
        <v>12</v>
      </c>
      <c r="G302" s="28">
        <v>17</v>
      </c>
      <c r="H302" s="28">
        <v>14</v>
      </c>
      <c r="I302" s="28">
        <v>19</v>
      </c>
      <c r="J302" s="28">
        <v>12</v>
      </c>
      <c r="K302" s="28">
        <v>9</v>
      </c>
      <c r="L302" s="28">
        <v>5</v>
      </c>
      <c r="M302" s="28">
        <v>7</v>
      </c>
      <c r="N302" s="28">
        <v>11</v>
      </c>
      <c r="O302" s="28">
        <v>36</v>
      </c>
      <c r="P302" s="28">
        <v>33</v>
      </c>
      <c r="Q302" s="28">
        <v>10</v>
      </c>
      <c r="R302" s="28">
        <v>17</v>
      </c>
      <c r="S302" s="28">
        <v>4</v>
      </c>
      <c r="T302" s="28">
        <v>5</v>
      </c>
      <c r="U302" s="28">
        <v>9</v>
      </c>
      <c r="V302" s="28">
        <v>19</v>
      </c>
    </row>
    <row r="303" spans="1:23" ht="25.5" x14ac:dyDescent="0.2">
      <c r="A303" s="28" t="s">
        <v>261</v>
      </c>
      <c r="B303" s="28" t="s">
        <v>296</v>
      </c>
      <c r="C303" s="28">
        <v>0</v>
      </c>
      <c r="D303" s="28">
        <v>0</v>
      </c>
      <c r="E303" s="28">
        <v>0</v>
      </c>
      <c r="F303" s="28">
        <v>0</v>
      </c>
      <c r="G303" s="28">
        <v>0</v>
      </c>
      <c r="H303" s="28">
        <v>0</v>
      </c>
      <c r="I303" s="28">
        <v>0</v>
      </c>
      <c r="J303" s="28">
        <v>0</v>
      </c>
      <c r="K303" s="28">
        <v>0</v>
      </c>
      <c r="L303" s="28">
        <v>0</v>
      </c>
      <c r="M303" s="28">
        <v>0</v>
      </c>
      <c r="N303" s="28">
        <v>0</v>
      </c>
      <c r="O303" s="28">
        <v>0</v>
      </c>
      <c r="P303" s="28">
        <v>0</v>
      </c>
      <c r="Q303" s="28">
        <v>0</v>
      </c>
      <c r="R303" s="28">
        <v>0</v>
      </c>
      <c r="S303" s="28"/>
      <c r="T303" s="28"/>
      <c r="U303" s="28"/>
      <c r="V303" s="28">
        <v>0</v>
      </c>
    </row>
    <row r="304" spans="1:23" ht="51" x14ac:dyDescent="0.2">
      <c r="A304" s="28" t="s">
        <v>261</v>
      </c>
      <c r="B304" s="28" t="s">
        <v>297</v>
      </c>
      <c r="C304" s="28">
        <v>10</v>
      </c>
      <c r="D304" s="28">
        <v>0</v>
      </c>
      <c r="E304" s="28">
        <v>0</v>
      </c>
      <c r="F304" s="28">
        <v>0</v>
      </c>
      <c r="G304" s="28">
        <v>0</v>
      </c>
      <c r="H304" s="28">
        <v>0</v>
      </c>
      <c r="I304" s="28">
        <v>0</v>
      </c>
      <c r="J304" s="28">
        <v>0</v>
      </c>
      <c r="K304" s="28">
        <v>3</v>
      </c>
      <c r="L304" s="28">
        <v>1</v>
      </c>
      <c r="M304" s="28">
        <v>1</v>
      </c>
      <c r="N304" s="28">
        <v>1</v>
      </c>
      <c r="O304" s="28">
        <v>1</v>
      </c>
      <c r="P304" s="28">
        <v>0</v>
      </c>
      <c r="Q304" s="28">
        <v>0</v>
      </c>
      <c r="R304" s="28">
        <v>10</v>
      </c>
      <c r="S304" s="28">
        <v>2</v>
      </c>
      <c r="T304" s="28">
        <v>1</v>
      </c>
      <c r="U304" s="28">
        <v>0</v>
      </c>
      <c r="V304" s="28">
        <v>0</v>
      </c>
    </row>
    <row r="305" spans="1:22" ht="51" x14ac:dyDescent="0.2">
      <c r="A305" s="28" t="s">
        <v>261</v>
      </c>
      <c r="B305" s="28" t="s">
        <v>298</v>
      </c>
      <c r="C305" s="28">
        <v>0</v>
      </c>
      <c r="D305" s="28">
        <v>0</v>
      </c>
      <c r="E305" s="28">
        <v>45</v>
      </c>
      <c r="F305" s="28">
        <v>76</v>
      </c>
      <c r="G305" s="28">
        <v>143</v>
      </c>
      <c r="H305" s="28">
        <v>157</v>
      </c>
      <c r="I305" s="28">
        <v>160</v>
      </c>
      <c r="J305" s="28">
        <v>95</v>
      </c>
      <c r="K305" s="28">
        <v>50</v>
      </c>
      <c r="L305" s="28">
        <v>205</v>
      </c>
      <c r="M305" s="28">
        <v>0</v>
      </c>
      <c r="N305" s="28">
        <v>0</v>
      </c>
      <c r="O305" s="28">
        <v>0</v>
      </c>
      <c r="P305" s="28">
        <v>0</v>
      </c>
      <c r="Q305" s="28">
        <v>0</v>
      </c>
      <c r="R305" s="28">
        <v>0</v>
      </c>
      <c r="S305" s="28">
        <v>0</v>
      </c>
      <c r="T305" s="28">
        <v>0</v>
      </c>
      <c r="U305" s="28">
        <v>0</v>
      </c>
      <c r="V305" s="28">
        <v>0</v>
      </c>
    </row>
    <row r="306" spans="1:22" ht="38.25" x14ac:dyDescent="0.2">
      <c r="A306" s="28" t="s">
        <v>261</v>
      </c>
      <c r="B306" s="28" t="s">
        <v>299</v>
      </c>
      <c r="C306" s="28">
        <f t="shared" ref="C306:V306" si="60">SUM(C307:C313)</f>
        <v>8</v>
      </c>
      <c r="D306" s="28">
        <f t="shared" si="60"/>
        <v>4</v>
      </c>
      <c r="E306" s="28">
        <f t="shared" si="60"/>
        <v>0</v>
      </c>
      <c r="F306" s="28">
        <f t="shared" si="60"/>
        <v>11</v>
      </c>
      <c r="G306" s="28">
        <f t="shared" si="60"/>
        <v>34</v>
      </c>
      <c r="H306" s="28">
        <f t="shared" si="60"/>
        <v>8</v>
      </c>
      <c r="I306" s="28">
        <f t="shared" si="60"/>
        <v>9</v>
      </c>
      <c r="J306" s="28">
        <f t="shared" si="60"/>
        <v>11</v>
      </c>
      <c r="K306" s="28">
        <f t="shared" si="60"/>
        <v>42</v>
      </c>
      <c r="L306" s="28">
        <f t="shared" si="60"/>
        <v>58</v>
      </c>
      <c r="M306" s="28">
        <f t="shared" si="60"/>
        <v>53</v>
      </c>
      <c r="N306" s="28">
        <f t="shared" si="60"/>
        <v>28</v>
      </c>
      <c r="O306" s="28">
        <f t="shared" si="60"/>
        <v>49</v>
      </c>
      <c r="P306" s="28">
        <f t="shared" si="60"/>
        <v>51</v>
      </c>
      <c r="Q306" s="28">
        <f t="shared" si="60"/>
        <v>32</v>
      </c>
      <c r="R306" s="28">
        <f t="shared" si="60"/>
        <v>25</v>
      </c>
      <c r="S306" s="28">
        <f t="shared" si="60"/>
        <v>36</v>
      </c>
      <c r="T306" s="28">
        <f t="shared" si="60"/>
        <v>36</v>
      </c>
      <c r="U306" s="28">
        <f t="shared" si="60"/>
        <v>214</v>
      </c>
      <c r="V306" s="28">
        <f t="shared" si="60"/>
        <v>34</v>
      </c>
    </row>
    <row r="307" spans="1:22" ht="38.25" x14ac:dyDescent="0.2">
      <c r="A307" s="28" t="s">
        <v>261</v>
      </c>
      <c r="B307" s="28" t="s">
        <v>300</v>
      </c>
      <c r="C307" s="28">
        <v>0</v>
      </c>
      <c r="D307" s="28">
        <v>0</v>
      </c>
      <c r="E307" s="28">
        <v>0</v>
      </c>
      <c r="F307" s="28">
        <v>0</v>
      </c>
      <c r="G307" s="28">
        <v>12</v>
      </c>
      <c r="H307" s="28">
        <v>3</v>
      </c>
      <c r="I307" s="28">
        <v>4</v>
      </c>
      <c r="J307" s="28">
        <v>1</v>
      </c>
      <c r="K307" s="28">
        <v>9</v>
      </c>
      <c r="L307" s="28">
        <v>10</v>
      </c>
      <c r="M307" s="28">
        <v>33</v>
      </c>
      <c r="N307" s="28">
        <v>4</v>
      </c>
      <c r="O307" s="28">
        <v>7</v>
      </c>
      <c r="P307" s="28">
        <v>24</v>
      </c>
      <c r="Q307" s="28">
        <v>9</v>
      </c>
      <c r="R307" s="28">
        <v>20</v>
      </c>
      <c r="S307" s="28">
        <v>26</v>
      </c>
      <c r="T307" s="28">
        <v>26</v>
      </c>
      <c r="U307" s="28">
        <f>18+165</f>
        <v>183</v>
      </c>
      <c r="V307" s="28">
        <f>29</f>
        <v>29</v>
      </c>
    </row>
    <row r="308" spans="1:22" ht="51" x14ac:dyDescent="0.2">
      <c r="A308" s="28" t="s">
        <v>261</v>
      </c>
      <c r="B308" s="28" t="s">
        <v>301</v>
      </c>
      <c r="C308" s="28">
        <v>0</v>
      </c>
      <c r="D308" s="28">
        <v>0</v>
      </c>
      <c r="E308" s="28">
        <v>0</v>
      </c>
      <c r="F308" s="28">
        <v>0</v>
      </c>
      <c r="G308" s="28">
        <v>0</v>
      </c>
      <c r="H308" s="28">
        <v>0</v>
      </c>
      <c r="I308" s="28">
        <v>0</v>
      </c>
      <c r="J308" s="28">
        <v>0</v>
      </c>
      <c r="K308" s="28">
        <v>0</v>
      </c>
      <c r="L308" s="28">
        <v>1</v>
      </c>
      <c r="M308" s="28">
        <v>5</v>
      </c>
      <c r="N308" s="28">
        <v>0</v>
      </c>
      <c r="O308" s="28">
        <v>0</v>
      </c>
      <c r="P308" s="28">
        <v>1</v>
      </c>
      <c r="Q308" s="28">
        <v>5</v>
      </c>
      <c r="R308" s="28">
        <v>4</v>
      </c>
      <c r="S308" s="28">
        <v>1</v>
      </c>
      <c r="T308" s="28">
        <v>1</v>
      </c>
      <c r="U308" s="28">
        <v>0</v>
      </c>
      <c r="V308" s="28">
        <f>1-9</f>
        <v>-8</v>
      </c>
    </row>
    <row r="309" spans="1:22" ht="38.25" x14ac:dyDescent="0.2">
      <c r="A309" s="28" t="s">
        <v>261</v>
      </c>
      <c r="B309" s="28" t="s">
        <v>302</v>
      </c>
      <c r="C309" s="28">
        <v>0</v>
      </c>
      <c r="D309" s="28">
        <v>1</v>
      </c>
      <c r="E309" s="28">
        <v>0</v>
      </c>
      <c r="F309" s="28">
        <v>1</v>
      </c>
      <c r="G309" s="28">
        <v>5</v>
      </c>
      <c r="H309" s="28">
        <v>0</v>
      </c>
      <c r="I309" s="28">
        <v>1</v>
      </c>
      <c r="J309" s="28">
        <v>1</v>
      </c>
      <c r="K309" s="28">
        <v>1</v>
      </c>
      <c r="L309" s="28">
        <v>20</v>
      </c>
      <c r="M309" s="28">
        <v>2</v>
      </c>
      <c r="N309" s="28">
        <v>6</v>
      </c>
      <c r="O309" s="28">
        <v>3</v>
      </c>
      <c r="P309" s="28">
        <v>14</v>
      </c>
      <c r="Q309" s="28">
        <v>0</v>
      </c>
      <c r="R309" s="28">
        <v>0</v>
      </c>
      <c r="S309" s="28">
        <v>1</v>
      </c>
      <c r="T309" s="28">
        <v>3</v>
      </c>
      <c r="U309" s="28">
        <f>4+15</f>
        <v>19</v>
      </c>
      <c r="V309" s="28">
        <v>3</v>
      </c>
    </row>
    <row r="310" spans="1:22" ht="38.25" x14ac:dyDescent="0.2">
      <c r="A310" s="28" t="s">
        <v>261</v>
      </c>
      <c r="B310" s="28" t="s">
        <v>303</v>
      </c>
      <c r="C310" s="28">
        <v>8</v>
      </c>
      <c r="D310" s="28">
        <v>3</v>
      </c>
      <c r="E310" s="28">
        <v>0</v>
      </c>
      <c r="F310" s="28">
        <v>10</v>
      </c>
      <c r="G310" s="28">
        <v>6</v>
      </c>
      <c r="H310" s="28">
        <v>4</v>
      </c>
      <c r="I310" s="28">
        <v>4</v>
      </c>
      <c r="J310" s="28">
        <v>0</v>
      </c>
      <c r="K310" s="28">
        <v>9</v>
      </c>
      <c r="L310" s="28">
        <v>12</v>
      </c>
      <c r="M310" s="28">
        <v>7</v>
      </c>
      <c r="N310" s="28">
        <v>6</v>
      </c>
      <c r="O310" s="28">
        <v>30</v>
      </c>
      <c r="P310" s="28">
        <v>12</v>
      </c>
      <c r="Q310" s="28">
        <v>18</v>
      </c>
      <c r="R310" s="28">
        <v>1</v>
      </c>
      <c r="S310" s="28">
        <v>8</v>
      </c>
      <c r="T310" s="28">
        <v>6</v>
      </c>
      <c r="U310" s="28">
        <v>12</v>
      </c>
      <c r="V310" s="28">
        <v>10</v>
      </c>
    </row>
    <row r="311" spans="1:22" ht="51" x14ac:dyDescent="0.2">
      <c r="A311" s="28" t="s">
        <v>261</v>
      </c>
      <c r="B311" s="28" t="s">
        <v>304</v>
      </c>
      <c r="C311" s="28">
        <v>0</v>
      </c>
      <c r="D311" s="28">
        <v>0</v>
      </c>
      <c r="E311" s="28">
        <v>0</v>
      </c>
      <c r="F311" s="28">
        <v>0</v>
      </c>
      <c r="G311" s="28">
        <v>0</v>
      </c>
      <c r="H311" s="28">
        <v>0</v>
      </c>
      <c r="I311" s="28">
        <v>0</v>
      </c>
      <c r="J311" s="28">
        <v>0</v>
      </c>
      <c r="K311" s="28">
        <v>0</v>
      </c>
      <c r="L311" s="28">
        <v>0</v>
      </c>
      <c r="M311" s="28">
        <v>0</v>
      </c>
      <c r="N311" s="28">
        <v>0</v>
      </c>
      <c r="O311" s="28">
        <v>0</v>
      </c>
      <c r="P311" s="28">
        <f>0-1</f>
        <v>-1</v>
      </c>
      <c r="Q311" s="28">
        <v>0</v>
      </c>
      <c r="R311" s="28">
        <v>0</v>
      </c>
      <c r="S311" s="28">
        <v>0</v>
      </c>
      <c r="T311" s="28">
        <v>0</v>
      </c>
      <c r="U311" s="28">
        <v>0</v>
      </c>
      <c r="V311" s="28">
        <v>0</v>
      </c>
    </row>
    <row r="312" spans="1:22" ht="38.25" x14ac:dyDescent="0.2">
      <c r="A312" s="28" t="s">
        <v>261</v>
      </c>
      <c r="B312" s="28" t="s">
        <v>305</v>
      </c>
      <c r="C312" s="28">
        <v>0</v>
      </c>
      <c r="D312" s="28">
        <v>0</v>
      </c>
      <c r="E312" s="28">
        <v>0</v>
      </c>
      <c r="F312" s="28">
        <v>0</v>
      </c>
      <c r="G312" s="28">
        <v>1</v>
      </c>
      <c r="H312" s="28">
        <v>0</v>
      </c>
      <c r="I312" s="28">
        <v>0</v>
      </c>
      <c r="J312" s="28">
        <v>9</v>
      </c>
      <c r="K312" s="28">
        <v>23</v>
      </c>
      <c r="L312" s="28">
        <v>14</v>
      </c>
      <c r="M312" s="28">
        <v>6</v>
      </c>
      <c r="N312" s="28">
        <v>12</v>
      </c>
      <c r="O312" s="28">
        <v>7</v>
      </c>
      <c r="P312" s="28">
        <f>2-1</f>
        <v>1</v>
      </c>
      <c r="Q312" s="28">
        <v>0</v>
      </c>
      <c r="R312" s="28">
        <v>0</v>
      </c>
      <c r="S312" s="28"/>
      <c r="T312" s="28"/>
      <c r="U312" s="28">
        <v>0</v>
      </c>
      <c r="V312" s="28">
        <v>0</v>
      </c>
    </row>
    <row r="313" spans="1:22" ht="38.25" x14ac:dyDescent="0.2">
      <c r="A313" s="28" t="s">
        <v>261</v>
      </c>
      <c r="B313" s="28" t="s">
        <v>306</v>
      </c>
      <c r="C313" s="28">
        <v>0</v>
      </c>
      <c r="D313" s="28">
        <v>0</v>
      </c>
      <c r="E313" s="28">
        <v>0</v>
      </c>
      <c r="F313" s="28">
        <v>0</v>
      </c>
      <c r="G313" s="28">
        <v>10</v>
      </c>
      <c r="H313" s="28">
        <v>1</v>
      </c>
      <c r="I313" s="28">
        <v>0</v>
      </c>
      <c r="J313" s="28">
        <v>0</v>
      </c>
      <c r="K313" s="28">
        <v>0</v>
      </c>
      <c r="L313" s="28">
        <v>1</v>
      </c>
      <c r="M313" s="28">
        <v>0</v>
      </c>
      <c r="N313" s="28">
        <v>0</v>
      </c>
      <c r="O313" s="28">
        <v>2</v>
      </c>
      <c r="P313" s="28">
        <v>0</v>
      </c>
      <c r="Q313" s="28">
        <v>0</v>
      </c>
      <c r="R313" s="28">
        <v>0</v>
      </c>
      <c r="S313" s="28"/>
      <c r="T313" s="28"/>
      <c r="U313" s="28">
        <v>0</v>
      </c>
      <c r="V313" s="28">
        <v>0</v>
      </c>
    </row>
    <row r="314" spans="1:22" ht="25.5" x14ac:dyDescent="0.2">
      <c r="A314" s="28" t="s">
        <v>261</v>
      </c>
      <c r="B314" s="28" t="s">
        <v>307</v>
      </c>
      <c r="C314" s="28">
        <v>0</v>
      </c>
      <c r="D314" s="28">
        <v>0</v>
      </c>
      <c r="E314" s="28">
        <v>0</v>
      </c>
      <c r="F314" s="28">
        <v>0</v>
      </c>
      <c r="G314" s="28">
        <v>0</v>
      </c>
      <c r="H314" s="28">
        <v>0</v>
      </c>
      <c r="I314" s="28">
        <v>0</v>
      </c>
      <c r="J314" s="28">
        <v>0</v>
      </c>
      <c r="K314" s="28">
        <v>0</v>
      </c>
      <c r="L314" s="28">
        <v>0</v>
      </c>
      <c r="M314" s="28">
        <v>0</v>
      </c>
      <c r="N314" s="28">
        <v>0</v>
      </c>
      <c r="O314" s="28">
        <v>0</v>
      </c>
      <c r="P314" s="28">
        <v>0</v>
      </c>
      <c r="Q314" s="28">
        <v>0</v>
      </c>
      <c r="R314" s="28">
        <v>0</v>
      </c>
      <c r="S314" s="28">
        <v>0</v>
      </c>
      <c r="T314" s="28">
        <v>0</v>
      </c>
      <c r="U314" s="28">
        <v>0</v>
      </c>
      <c r="V314" s="28">
        <v>0</v>
      </c>
    </row>
    <row r="315" spans="1:22" ht="38.25" x14ac:dyDescent="0.2">
      <c r="A315" s="28" t="s">
        <v>261</v>
      </c>
      <c r="B315" s="28" t="s">
        <v>308</v>
      </c>
      <c r="C315" s="28">
        <v>0</v>
      </c>
      <c r="D315" s="28">
        <v>100</v>
      </c>
      <c r="E315" s="28">
        <v>719</v>
      </c>
      <c r="F315" s="28">
        <v>267</v>
      </c>
      <c r="G315" s="28">
        <v>0</v>
      </c>
      <c r="H315" s="28">
        <v>194</v>
      </c>
      <c r="I315" s="28">
        <v>520</v>
      </c>
      <c r="J315" s="28">
        <v>0</v>
      </c>
      <c r="K315" s="28">
        <v>0</v>
      </c>
      <c r="L315" s="28">
        <v>0</v>
      </c>
      <c r="M315" s="28">
        <v>301</v>
      </c>
      <c r="N315" s="28">
        <v>0</v>
      </c>
      <c r="O315" s="28">
        <v>0</v>
      </c>
      <c r="P315" s="28">
        <v>0</v>
      </c>
      <c r="Q315" s="28">
        <v>0</v>
      </c>
      <c r="R315" s="28">
        <v>0</v>
      </c>
      <c r="S315" s="28">
        <v>0</v>
      </c>
      <c r="T315" s="28">
        <v>0</v>
      </c>
      <c r="U315" s="28">
        <v>0</v>
      </c>
      <c r="V315" s="28">
        <v>0</v>
      </c>
    </row>
    <row r="316" spans="1:22" ht="38.25" x14ac:dyDescent="0.2">
      <c r="A316" s="28" t="s">
        <v>261</v>
      </c>
      <c r="B316" s="28" t="s">
        <v>309</v>
      </c>
      <c r="C316" s="28"/>
      <c r="D316" s="28"/>
      <c r="E316" s="28">
        <v>0</v>
      </c>
      <c r="F316" s="28">
        <v>209</v>
      </c>
      <c r="G316" s="28">
        <v>0</v>
      </c>
      <c r="H316" s="28">
        <v>1296</v>
      </c>
      <c r="I316" s="28">
        <v>1845</v>
      </c>
      <c r="J316" s="28">
        <v>0</v>
      </c>
      <c r="K316" s="28">
        <v>570</v>
      </c>
      <c r="L316" s="28"/>
      <c r="M316" s="28"/>
      <c r="N316" s="28">
        <v>11007</v>
      </c>
      <c r="O316" s="28">
        <v>418</v>
      </c>
      <c r="P316" s="28">
        <v>1208</v>
      </c>
      <c r="Q316" s="28">
        <v>0</v>
      </c>
      <c r="R316" s="28">
        <v>0</v>
      </c>
      <c r="S316" s="28">
        <v>0</v>
      </c>
      <c r="T316" s="28">
        <v>411</v>
      </c>
      <c r="U316" s="28">
        <v>0</v>
      </c>
      <c r="V316" s="28">
        <v>10802</v>
      </c>
    </row>
    <row r="317" spans="1:22" ht="51" x14ac:dyDescent="0.2">
      <c r="A317" s="28" t="s">
        <v>261</v>
      </c>
      <c r="B317" s="28" t="s">
        <v>310</v>
      </c>
      <c r="C317" s="28">
        <v>0</v>
      </c>
      <c r="D317" s="28">
        <v>0</v>
      </c>
      <c r="E317" s="28">
        <v>0</v>
      </c>
      <c r="F317" s="28">
        <v>0</v>
      </c>
      <c r="G317" s="28">
        <v>0</v>
      </c>
      <c r="H317" s="28">
        <v>0</v>
      </c>
      <c r="I317" s="28">
        <v>0</v>
      </c>
      <c r="J317" s="28">
        <v>0</v>
      </c>
      <c r="K317" s="28">
        <v>0</v>
      </c>
      <c r="L317" s="28">
        <v>0</v>
      </c>
      <c r="M317" s="28">
        <v>0</v>
      </c>
      <c r="N317" s="28">
        <v>0</v>
      </c>
      <c r="O317" s="28">
        <v>0</v>
      </c>
      <c r="P317" s="28">
        <v>0</v>
      </c>
      <c r="Q317" s="28">
        <v>0</v>
      </c>
      <c r="R317" s="28">
        <v>0</v>
      </c>
      <c r="S317" s="28">
        <v>0</v>
      </c>
      <c r="T317" s="28">
        <v>0</v>
      </c>
      <c r="U317" s="28">
        <v>0</v>
      </c>
      <c r="V317" s="28">
        <v>-284</v>
      </c>
    </row>
    <row r="318" spans="1:22" ht="63.75" x14ac:dyDescent="0.2">
      <c r="A318" s="28" t="s">
        <v>261</v>
      </c>
      <c r="B318" s="28" t="s">
        <v>311</v>
      </c>
      <c r="C318" s="28">
        <v>0</v>
      </c>
      <c r="D318" s="28">
        <v>0</v>
      </c>
      <c r="E318" s="28">
        <v>0</v>
      </c>
      <c r="F318" s="28">
        <v>0</v>
      </c>
      <c r="G318" s="28">
        <v>0</v>
      </c>
      <c r="H318" s="28">
        <v>0</v>
      </c>
      <c r="I318" s="28">
        <v>0</v>
      </c>
      <c r="J318" s="28">
        <v>0</v>
      </c>
      <c r="K318" s="28">
        <v>0</v>
      </c>
      <c r="L318" s="28">
        <v>0</v>
      </c>
      <c r="M318" s="28">
        <v>0</v>
      </c>
      <c r="N318" s="28">
        <f>964+4189</f>
        <v>5153</v>
      </c>
      <c r="O318" s="28">
        <f>1286+5</f>
        <v>1291</v>
      </c>
      <c r="P318" s="28">
        <v>2435</v>
      </c>
      <c r="Q318" s="28">
        <v>2908</v>
      </c>
      <c r="R318" s="28">
        <f>4673+153</f>
        <v>4826</v>
      </c>
      <c r="S318" s="28">
        <f>6447-176</f>
        <v>6271</v>
      </c>
      <c r="T318" s="28">
        <v>7280</v>
      </c>
      <c r="U318" s="28">
        <f>6363+212</f>
        <v>6575</v>
      </c>
      <c r="V318" s="28">
        <f>770+25</f>
        <v>795</v>
      </c>
    </row>
    <row r="319" spans="1:22" ht="38.25" x14ac:dyDescent="0.2">
      <c r="A319" s="28" t="s">
        <v>312</v>
      </c>
      <c r="B319" s="28" t="s">
        <v>313</v>
      </c>
      <c r="C319" s="28">
        <f t="shared" ref="C319:V319" si="61">SUM(C320:C321)</f>
        <v>0</v>
      </c>
      <c r="D319" s="28">
        <f t="shared" si="61"/>
        <v>0</v>
      </c>
      <c r="E319" s="28">
        <f t="shared" si="61"/>
        <v>0</v>
      </c>
      <c r="F319" s="28">
        <f t="shared" si="61"/>
        <v>0</v>
      </c>
      <c r="G319" s="28">
        <f t="shared" si="61"/>
        <v>0</v>
      </c>
      <c r="H319" s="28">
        <f t="shared" si="61"/>
        <v>0</v>
      </c>
      <c r="I319" s="28">
        <f t="shared" si="61"/>
        <v>0</v>
      </c>
      <c r="J319" s="28">
        <f t="shared" si="61"/>
        <v>0</v>
      </c>
      <c r="K319" s="28">
        <f t="shared" si="61"/>
        <v>0</v>
      </c>
      <c r="L319" s="28">
        <f t="shared" si="61"/>
        <v>0</v>
      </c>
      <c r="M319" s="28">
        <f t="shared" si="61"/>
        <v>0</v>
      </c>
      <c r="N319" s="28">
        <f t="shared" si="61"/>
        <v>0</v>
      </c>
      <c r="O319" s="28">
        <f t="shared" si="61"/>
        <v>0</v>
      </c>
      <c r="P319" s="28">
        <f t="shared" si="61"/>
        <v>0</v>
      </c>
      <c r="Q319" s="28">
        <f t="shared" si="61"/>
        <v>0</v>
      </c>
      <c r="R319" s="28">
        <f t="shared" si="61"/>
        <v>0</v>
      </c>
      <c r="S319" s="28">
        <f t="shared" si="61"/>
        <v>0</v>
      </c>
      <c r="T319" s="28">
        <f t="shared" si="61"/>
        <v>0</v>
      </c>
      <c r="U319" s="28">
        <f t="shared" si="61"/>
        <v>12903</v>
      </c>
      <c r="V319" s="28">
        <f t="shared" si="61"/>
        <v>45982</v>
      </c>
    </row>
    <row r="320" spans="1:22" ht="38.25" x14ac:dyDescent="0.2">
      <c r="A320" s="28" t="s">
        <v>312</v>
      </c>
      <c r="B320" s="28" t="s">
        <v>314</v>
      </c>
      <c r="C320" s="28">
        <v>0</v>
      </c>
      <c r="D320" s="28">
        <v>0</v>
      </c>
      <c r="E320" s="28">
        <v>0</v>
      </c>
      <c r="F320" s="28">
        <v>0</v>
      </c>
      <c r="G320" s="28">
        <v>0</v>
      </c>
      <c r="H320" s="28">
        <v>0</v>
      </c>
      <c r="I320" s="28">
        <v>0</v>
      </c>
      <c r="J320" s="28">
        <v>0</v>
      </c>
      <c r="K320" s="28">
        <v>0</v>
      </c>
      <c r="L320" s="28">
        <v>0</v>
      </c>
      <c r="M320" s="28">
        <v>0</v>
      </c>
      <c r="N320" s="28">
        <v>0</v>
      </c>
      <c r="O320" s="28">
        <v>0</v>
      </c>
      <c r="P320" s="28">
        <v>0</v>
      </c>
      <c r="Q320" s="28">
        <v>0</v>
      </c>
      <c r="R320" s="28">
        <v>0</v>
      </c>
      <c r="S320" s="28">
        <v>0</v>
      </c>
      <c r="T320" s="28">
        <v>0</v>
      </c>
      <c r="U320" s="28">
        <v>303</v>
      </c>
      <c r="V320" s="28">
        <v>7104</v>
      </c>
    </row>
    <row r="321" spans="1:23" ht="38.25" x14ac:dyDescent="0.2">
      <c r="A321" s="28" t="s">
        <v>312</v>
      </c>
      <c r="B321" s="28" t="s">
        <v>315</v>
      </c>
      <c r="C321" s="28">
        <v>0</v>
      </c>
      <c r="D321" s="28">
        <v>0</v>
      </c>
      <c r="E321" s="28">
        <v>0</v>
      </c>
      <c r="F321" s="28">
        <v>0</v>
      </c>
      <c r="G321" s="28">
        <v>0</v>
      </c>
      <c r="H321" s="28">
        <v>0</v>
      </c>
      <c r="I321" s="28">
        <v>0</v>
      </c>
      <c r="J321" s="28">
        <v>0</v>
      </c>
      <c r="K321" s="28">
        <v>0</v>
      </c>
      <c r="L321" s="28">
        <v>0</v>
      </c>
      <c r="M321" s="28">
        <v>0</v>
      </c>
      <c r="N321" s="28">
        <v>0</v>
      </c>
      <c r="O321" s="28">
        <v>0</v>
      </c>
      <c r="P321" s="28">
        <v>0</v>
      </c>
      <c r="Q321" s="28">
        <v>0</v>
      </c>
      <c r="R321" s="28">
        <v>0</v>
      </c>
      <c r="S321" s="28">
        <v>0</v>
      </c>
      <c r="T321" s="28">
        <v>0</v>
      </c>
      <c r="U321" s="28">
        <v>12600</v>
      </c>
      <c r="V321" s="28">
        <v>38878</v>
      </c>
    </row>
    <row r="322" spans="1:23" ht="76.5" x14ac:dyDescent="0.2">
      <c r="A322" s="28" t="s">
        <v>316</v>
      </c>
      <c r="B322" s="28" t="s">
        <v>317</v>
      </c>
      <c r="C322" s="28">
        <f>C325+C337+C341</f>
        <v>2017</v>
      </c>
      <c r="D322" s="28">
        <f t="shared" ref="D322:V322" si="62">D325+D337+D341</f>
        <v>2039</v>
      </c>
      <c r="E322" s="28">
        <f t="shared" si="62"/>
        <v>1998</v>
      </c>
      <c r="F322" s="28">
        <f t="shared" si="62"/>
        <v>2371</v>
      </c>
      <c r="G322" s="28">
        <f t="shared" si="62"/>
        <v>2935</v>
      </c>
      <c r="H322" s="28">
        <f t="shared" si="62"/>
        <v>2862</v>
      </c>
      <c r="I322" s="28">
        <f t="shared" si="62"/>
        <v>2777</v>
      </c>
      <c r="J322" s="28">
        <f t="shared" si="62"/>
        <v>8114</v>
      </c>
      <c r="K322" s="28">
        <f t="shared" si="62"/>
        <v>10233</v>
      </c>
      <c r="L322" s="28">
        <f t="shared" si="62"/>
        <v>3847</v>
      </c>
      <c r="M322" s="28">
        <f t="shared" si="62"/>
        <v>8802</v>
      </c>
      <c r="N322" s="28">
        <f t="shared" si="62"/>
        <v>15467</v>
      </c>
      <c r="O322" s="28">
        <f t="shared" si="62"/>
        <v>17439</v>
      </c>
      <c r="P322" s="28">
        <f t="shared" si="62"/>
        <v>14457</v>
      </c>
      <c r="Q322" s="28">
        <f t="shared" si="62"/>
        <v>13717</v>
      </c>
      <c r="R322" s="28">
        <f t="shared" si="62"/>
        <v>13385</v>
      </c>
      <c r="S322" s="28">
        <f t="shared" si="62"/>
        <v>12205</v>
      </c>
      <c r="T322" s="28">
        <f t="shared" si="62"/>
        <v>10926</v>
      </c>
      <c r="U322" s="28">
        <f t="shared" si="62"/>
        <v>11462</v>
      </c>
      <c r="V322" s="28">
        <f t="shared" si="62"/>
        <v>11094</v>
      </c>
    </row>
    <row r="323" spans="1:23" ht="89.25" x14ac:dyDescent="0.2">
      <c r="A323" s="28" t="s">
        <v>316</v>
      </c>
      <c r="B323" s="28" t="s">
        <v>318</v>
      </c>
      <c r="C323" s="28">
        <f>C325+C338+C339+C342</f>
        <v>828</v>
      </c>
      <c r="D323" s="28">
        <f t="shared" ref="D323:V323" si="63">D325+D338+D339+D342</f>
        <v>933</v>
      </c>
      <c r="E323" s="28">
        <f t="shared" si="63"/>
        <v>955</v>
      </c>
      <c r="F323" s="28">
        <f t="shared" si="63"/>
        <v>1033</v>
      </c>
      <c r="G323" s="28">
        <f t="shared" si="63"/>
        <v>1591</v>
      </c>
      <c r="H323" s="28">
        <f t="shared" si="63"/>
        <v>1363</v>
      </c>
      <c r="I323" s="28">
        <f t="shared" si="63"/>
        <v>1201</v>
      </c>
      <c r="J323" s="28">
        <f t="shared" si="63"/>
        <v>5370</v>
      </c>
      <c r="K323" s="28">
        <f t="shared" si="63"/>
        <v>7940</v>
      </c>
      <c r="L323" s="28">
        <f t="shared" si="63"/>
        <v>2813</v>
      </c>
      <c r="M323" s="28">
        <f t="shared" si="63"/>
        <v>7924</v>
      </c>
      <c r="N323" s="28">
        <f t="shared" si="63"/>
        <v>14775</v>
      </c>
      <c r="O323" s="28">
        <f t="shared" si="63"/>
        <v>16394</v>
      </c>
      <c r="P323" s="28">
        <f t="shared" si="63"/>
        <v>14044</v>
      </c>
      <c r="Q323" s="28">
        <f t="shared" si="63"/>
        <v>13189</v>
      </c>
      <c r="R323" s="28">
        <f t="shared" si="63"/>
        <v>12720</v>
      </c>
      <c r="S323" s="28">
        <f t="shared" si="63"/>
        <v>11459</v>
      </c>
      <c r="T323" s="28">
        <f t="shared" si="63"/>
        <v>10344</v>
      </c>
      <c r="U323" s="28">
        <f t="shared" si="63"/>
        <v>10790</v>
      </c>
      <c r="V323" s="28">
        <f t="shared" si="63"/>
        <v>10493</v>
      </c>
    </row>
    <row r="324" spans="1:23" ht="102" x14ac:dyDescent="0.2">
      <c r="A324" s="28" t="s">
        <v>316</v>
      </c>
      <c r="B324" s="28" t="s">
        <v>319</v>
      </c>
      <c r="C324" s="28">
        <f t="shared" ref="C324" si="64">C325+C337+C341</f>
        <v>2017</v>
      </c>
      <c r="D324" s="28">
        <f t="shared" ref="D324:V324" si="65">D325+D337+D341</f>
        <v>2039</v>
      </c>
      <c r="E324" s="28">
        <f t="shared" si="65"/>
        <v>1998</v>
      </c>
      <c r="F324" s="28">
        <f t="shared" si="65"/>
        <v>2371</v>
      </c>
      <c r="G324" s="28">
        <f t="shared" si="65"/>
        <v>2935</v>
      </c>
      <c r="H324" s="28">
        <f t="shared" si="65"/>
        <v>2862</v>
      </c>
      <c r="I324" s="28">
        <f t="shared" si="65"/>
        <v>2777</v>
      </c>
      <c r="J324" s="28">
        <f t="shared" si="65"/>
        <v>8114</v>
      </c>
      <c r="K324" s="28">
        <f t="shared" si="65"/>
        <v>10233</v>
      </c>
      <c r="L324" s="28">
        <f t="shared" si="65"/>
        <v>3847</v>
      </c>
      <c r="M324" s="28">
        <f t="shared" si="65"/>
        <v>8802</v>
      </c>
      <c r="N324" s="28">
        <f t="shared" si="65"/>
        <v>15467</v>
      </c>
      <c r="O324" s="28">
        <f t="shared" si="65"/>
        <v>17439</v>
      </c>
      <c r="P324" s="28">
        <f t="shared" si="65"/>
        <v>14457</v>
      </c>
      <c r="Q324" s="28">
        <f t="shared" si="65"/>
        <v>13717</v>
      </c>
      <c r="R324" s="28">
        <f t="shared" si="65"/>
        <v>13385</v>
      </c>
      <c r="S324" s="28">
        <f t="shared" si="65"/>
        <v>12205</v>
      </c>
      <c r="T324" s="28">
        <f t="shared" si="65"/>
        <v>10926</v>
      </c>
      <c r="U324" s="28">
        <f t="shared" si="65"/>
        <v>11462</v>
      </c>
      <c r="V324" s="28">
        <f t="shared" si="65"/>
        <v>11094</v>
      </c>
    </row>
    <row r="325" spans="1:23" ht="89.25" x14ac:dyDescent="0.2">
      <c r="A325" s="28" t="s">
        <v>316</v>
      </c>
      <c r="B325" s="28" t="s">
        <v>320</v>
      </c>
      <c r="C325" s="28">
        <f t="shared" ref="C325" si="66">SUM(C326:C336)</f>
        <v>0</v>
      </c>
      <c r="D325" s="28">
        <f t="shared" ref="D325:V325" si="67">SUM(D326:D336)</f>
        <v>0</v>
      </c>
      <c r="E325" s="28">
        <f t="shared" si="67"/>
        <v>0</v>
      </c>
      <c r="F325" s="28">
        <f t="shared" si="67"/>
        <v>0</v>
      </c>
      <c r="G325" s="28">
        <f t="shared" si="67"/>
        <v>0</v>
      </c>
      <c r="H325" s="28">
        <f t="shared" si="67"/>
        <v>0</v>
      </c>
      <c r="I325" s="28">
        <f t="shared" si="67"/>
        <v>0</v>
      </c>
      <c r="J325" s="28">
        <f t="shared" si="67"/>
        <v>4233</v>
      </c>
      <c r="K325" s="28">
        <f t="shared" si="67"/>
        <v>6947</v>
      </c>
      <c r="L325" s="28">
        <f t="shared" si="67"/>
        <v>2391</v>
      </c>
      <c r="M325" s="28">
        <f t="shared" si="67"/>
        <v>7477</v>
      </c>
      <c r="N325" s="28">
        <f t="shared" si="67"/>
        <v>14399</v>
      </c>
      <c r="O325" s="28">
        <f t="shared" si="67"/>
        <v>16064</v>
      </c>
      <c r="P325" s="28">
        <f t="shared" si="67"/>
        <v>13805</v>
      </c>
      <c r="Q325" s="28">
        <f t="shared" si="67"/>
        <v>12699</v>
      </c>
      <c r="R325" s="28">
        <f t="shared" si="67"/>
        <v>11952</v>
      </c>
      <c r="S325" s="28">
        <f t="shared" si="67"/>
        <v>10817</v>
      </c>
      <c r="T325" s="28">
        <f t="shared" si="67"/>
        <v>9566</v>
      </c>
      <c r="U325" s="28">
        <f t="shared" si="67"/>
        <v>9991</v>
      </c>
      <c r="V325" s="28">
        <f t="shared" si="67"/>
        <v>9745</v>
      </c>
    </row>
    <row r="326" spans="1:23" ht="76.5" x14ac:dyDescent="0.2">
      <c r="A326" s="28" t="s">
        <v>316</v>
      </c>
      <c r="B326" s="28" t="s">
        <v>321</v>
      </c>
      <c r="C326" s="28">
        <v>0</v>
      </c>
      <c r="D326" s="28">
        <v>0</v>
      </c>
      <c r="E326" s="28">
        <v>0</v>
      </c>
      <c r="F326" s="28">
        <v>0</v>
      </c>
      <c r="G326" s="28">
        <v>0</v>
      </c>
      <c r="H326" s="28">
        <v>0</v>
      </c>
      <c r="I326" s="28">
        <v>0</v>
      </c>
      <c r="J326" s="28">
        <v>0</v>
      </c>
      <c r="K326" s="28">
        <v>0</v>
      </c>
      <c r="L326" s="28">
        <v>0</v>
      </c>
      <c r="M326" s="28">
        <v>0</v>
      </c>
      <c r="N326" s="28">
        <v>0</v>
      </c>
      <c r="O326" s="28">
        <v>0</v>
      </c>
      <c r="P326" s="28">
        <v>0</v>
      </c>
      <c r="Q326" s="28">
        <v>0</v>
      </c>
      <c r="R326" s="28">
        <v>0</v>
      </c>
      <c r="S326" s="28">
        <v>0</v>
      </c>
      <c r="T326" s="28">
        <v>10</v>
      </c>
      <c r="U326" s="28">
        <v>4</v>
      </c>
      <c r="V326" s="28">
        <v>7</v>
      </c>
    </row>
    <row r="327" spans="1:23" ht="76.5" x14ac:dyDescent="0.2">
      <c r="A327" s="28" t="s">
        <v>316</v>
      </c>
      <c r="B327" s="28" t="s">
        <v>322</v>
      </c>
      <c r="C327" s="28">
        <v>0</v>
      </c>
      <c r="D327" s="28">
        <v>0</v>
      </c>
      <c r="E327" s="28">
        <v>0</v>
      </c>
      <c r="F327" s="28">
        <v>0</v>
      </c>
      <c r="G327" s="28">
        <v>0</v>
      </c>
      <c r="H327" s="28">
        <v>0</v>
      </c>
      <c r="I327" s="28">
        <v>0</v>
      </c>
      <c r="J327" s="28">
        <v>0</v>
      </c>
      <c r="K327" s="28">
        <v>0</v>
      </c>
      <c r="L327" s="28">
        <v>0</v>
      </c>
      <c r="M327" s="28">
        <v>0</v>
      </c>
      <c r="N327" s="28">
        <v>0</v>
      </c>
      <c r="O327" s="28">
        <v>0</v>
      </c>
      <c r="P327" s="28">
        <v>0</v>
      </c>
      <c r="Q327" s="28">
        <v>0</v>
      </c>
      <c r="R327" s="28">
        <v>0</v>
      </c>
      <c r="S327" s="28">
        <v>0</v>
      </c>
      <c r="T327" s="28">
        <v>0</v>
      </c>
      <c r="U327" s="28">
        <v>3</v>
      </c>
      <c r="V327" s="28">
        <v>14</v>
      </c>
    </row>
    <row r="328" spans="1:23" ht="76.5" x14ac:dyDescent="0.2">
      <c r="A328" s="28" t="s">
        <v>316</v>
      </c>
      <c r="B328" s="28" t="s">
        <v>323</v>
      </c>
      <c r="C328" s="28">
        <v>0</v>
      </c>
      <c r="D328" s="28">
        <v>0</v>
      </c>
      <c r="E328" s="28">
        <v>0</v>
      </c>
      <c r="F328" s="28">
        <v>0</v>
      </c>
      <c r="G328" s="28">
        <v>0</v>
      </c>
      <c r="H328" s="28">
        <v>0</v>
      </c>
      <c r="I328" s="28">
        <v>0</v>
      </c>
      <c r="J328" s="28">
        <v>0</v>
      </c>
      <c r="K328" s="28">
        <v>0</v>
      </c>
      <c r="L328" s="28">
        <v>0</v>
      </c>
      <c r="M328" s="28">
        <v>0</v>
      </c>
      <c r="N328" s="28">
        <v>0</v>
      </c>
      <c r="O328" s="28">
        <v>0</v>
      </c>
      <c r="P328" s="28">
        <v>0</v>
      </c>
      <c r="Q328" s="28">
        <v>0</v>
      </c>
      <c r="R328" s="28">
        <v>0</v>
      </c>
      <c r="S328" s="28">
        <v>3</v>
      </c>
      <c r="T328" s="28">
        <v>5</v>
      </c>
      <c r="U328" s="28">
        <v>1</v>
      </c>
      <c r="V328" s="28">
        <v>1</v>
      </c>
    </row>
    <row r="329" spans="1:23" ht="76.5" x14ac:dyDescent="0.2">
      <c r="A329" s="28" t="s">
        <v>316</v>
      </c>
      <c r="B329" s="28" t="s">
        <v>324</v>
      </c>
      <c r="C329" s="28">
        <v>0</v>
      </c>
      <c r="D329" s="28">
        <v>0</v>
      </c>
      <c r="E329" s="28">
        <v>0</v>
      </c>
      <c r="F329" s="28">
        <v>0</v>
      </c>
      <c r="G329" s="28">
        <v>0</v>
      </c>
      <c r="H329" s="28">
        <v>0</v>
      </c>
      <c r="I329" s="28">
        <v>0</v>
      </c>
      <c r="J329" s="28">
        <v>0</v>
      </c>
      <c r="K329" s="28">
        <v>0</v>
      </c>
      <c r="L329" s="28">
        <v>0</v>
      </c>
      <c r="M329" s="28">
        <v>0</v>
      </c>
      <c r="N329" s="28">
        <v>0</v>
      </c>
      <c r="O329" s="28">
        <v>0</v>
      </c>
      <c r="P329" s="28">
        <v>0</v>
      </c>
      <c r="Q329" s="28">
        <v>0</v>
      </c>
      <c r="R329" s="28">
        <v>0</v>
      </c>
      <c r="S329" s="28">
        <v>19</v>
      </c>
      <c r="T329" s="28">
        <v>24</v>
      </c>
      <c r="U329" s="28">
        <v>26</v>
      </c>
      <c r="V329" s="28">
        <v>43</v>
      </c>
      <c r="W329" s="3"/>
    </row>
    <row r="330" spans="1:23" ht="89.25" x14ac:dyDescent="0.2">
      <c r="A330" s="28" t="s">
        <v>316</v>
      </c>
      <c r="B330" s="28" t="s">
        <v>325</v>
      </c>
      <c r="C330" s="28">
        <v>0</v>
      </c>
      <c r="D330" s="28">
        <v>0</v>
      </c>
      <c r="E330" s="28">
        <v>0</v>
      </c>
      <c r="F330" s="28">
        <v>0</v>
      </c>
      <c r="G330" s="28">
        <v>0</v>
      </c>
      <c r="H330" s="28">
        <v>0</v>
      </c>
      <c r="I330" s="28">
        <v>0</v>
      </c>
      <c r="J330" s="28">
        <v>0</v>
      </c>
      <c r="K330" s="28">
        <v>0</v>
      </c>
      <c r="L330" s="28">
        <v>0</v>
      </c>
      <c r="M330" s="28">
        <v>0</v>
      </c>
      <c r="N330" s="28">
        <v>0</v>
      </c>
      <c r="O330" s="28">
        <v>0</v>
      </c>
      <c r="P330" s="28">
        <v>0</v>
      </c>
      <c r="Q330" s="28">
        <v>0</v>
      </c>
      <c r="R330" s="28">
        <v>0</v>
      </c>
      <c r="S330" s="28">
        <v>0</v>
      </c>
      <c r="T330" s="28">
        <v>0</v>
      </c>
      <c r="U330" s="28">
        <v>0</v>
      </c>
      <c r="V330" s="28">
        <v>0</v>
      </c>
    </row>
    <row r="331" spans="1:23" ht="76.5" x14ac:dyDescent="0.2">
      <c r="A331" s="28" t="s">
        <v>316</v>
      </c>
      <c r="B331" s="28" t="s">
        <v>326</v>
      </c>
      <c r="C331" s="28">
        <v>0</v>
      </c>
      <c r="D331" s="28">
        <v>0</v>
      </c>
      <c r="E331" s="28">
        <v>0</v>
      </c>
      <c r="F331" s="28">
        <v>0</v>
      </c>
      <c r="G331" s="28">
        <v>0</v>
      </c>
      <c r="H331" s="28">
        <v>0</v>
      </c>
      <c r="I331" s="28">
        <v>0</v>
      </c>
      <c r="J331" s="28">
        <v>0</v>
      </c>
      <c r="K331" s="28">
        <v>0</v>
      </c>
      <c r="L331" s="28">
        <v>0</v>
      </c>
      <c r="M331" s="28">
        <v>0</v>
      </c>
      <c r="N331" s="28">
        <v>0</v>
      </c>
      <c r="O331" s="28">
        <v>0</v>
      </c>
      <c r="P331" s="28">
        <v>0</v>
      </c>
      <c r="Q331" s="28">
        <v>0</v>
      </c>
      <c r="R331" s="28">
        <v>0</v>
      </c>
      <c r="S331" s="28">
        <v>0</v>
      </c>
      <c r="T331" s="28">
        <v>7</v>
      </c>
      <c r="U331" s="28">
        <v>8</v>
      </c>
      <c r="V331" s="28">
        <v>8</v>
      </c>
    </row>
    <row r="332" spans="1:23" ht="76.5" x14ac:dyDescent="0.2">
      <c r="A332" s="28" t="s">
        <v>316</v>
      </c>
      <c r="B332" s="28" t="s">
        <v>327</v>
      </c>
      <c r="C332" s="28">
        <v>0</v>
      </c>
      <c r="D332" s="28">
        <v>0</v>
      </c>
      <c r="E332" s="28">
        <v>0</v>
      </c>
      <c r="F332" s="28">
        <v>0</v>
      </c>
      <c r="G332" s="28">
        <v>0</v>
      </c>
      <c r="H332" s="28">
        <v>0</v>
      </c>
      <c r="I332" s="28">
        <v>0</v>
      </c>
      <c r="J332" s="28">
        <v>0</v>
      </c>
      <c r="K332" s="28">
        <v>0</v>
      </c>
      <c r="L332" s="28">
        <v>0</v>
      </c>
      <c r="M332" s="28">
        <v>0</v>
      </c>
      <c r="N332" s="28">
        <v>0</v>
      </c>
      <c r="O332" s="28">
        <v>0</v>
      </c>
      <c r="P332" s="28">
        <v>0</v>
      </c>
      <c r="Q332" s="28">
        <v>0</v>
      </c>
      <c r="R332" s="28">
        <v>0</v>
      </c>
      <c r="S332" s="28">
        <v>88</v>
      </c>
      <c r="T332" s="28">
        <v>144</v>
      </c>
      <c r="U332" s="28">
        <v>186</v>
      </c>
      <c r="V332" s="28">
        <v>247</v>
      </c>
    </row>
    <row r="333" spans="1:23" ht="76.5" x14ac:dyDescent="0.2">
      <c r="A333" s="28" t="s">
        <v>316</v>
      </c>
      <c r="B333" s="28" t="s">
        <v>328</v>
      </c>
      <c r="C333" s="28">
        <v>0</v>
      </c>
      <c r="D333" s="28">
        <v>0</v>
      </c>
      <c r="E333" s="28">
        <v>0</v>
      </c>
      <c r="F333" s="28">
        <v>0</v>
      </c>
      <c r="G333" s="28">
        <v>0</v>
      </c>
      <c r="H333" s="28">
        <v>0</v>
      </c>
      <c r="I333" s="28">
        <v>0</v>
      </c>
      <c r="J333" s="28">
        <v>0</v>
      </c>
      <c r="K333" s="28">
        <v>0</v>
      </c>
      <c r="L333" s="28">
        <v>0</v>
      </c>
      <c r="M333" s="28">
        <v>0</v>
      </c>
      <c r="N333" s="28">
        <v>0</v>
      </c>
      <c r="O333" s="28">
        <v>0</v>
      </c>
      <c r="P333" s="28">
        <v>0</v>
      </c>
      <c r="Q333" s="28">
        <v>0</v>
      </c>
      <c r="R333" s="28">
        <v>23</v>
      </c>
      <c r="S333" s="28">
        <v>120</v>
      </c>
      <c r="T333" s="28">
        <v>114</v>
      </c>
      <c r="U333" s="28">
        <v>76</v>
      </c>
      <c r="V333" s="28">
        <v>58</v>
      </c>
    </row>
    <row r="334" spans="1:23" ht="89.25" x14ac:dyDescent="0.2">
      <c r="A334" s="28" t="s">
        <v>316</v>
      </c>
      <c r="B334" s="28" t="s">
        <v>329</v>
      </c>
      <c r="C334" s="28">
        <v>0</v>
      </c>
      <c r="D334" s="28">
        <v>0</v>
      </c>
      <c r="E334" s="28">
        <v>0</v>
      </c>
      <c r="F334" s="28">
        <v>0</v>
      </c>
      <c r="G334" s="28">
        <v>0</v>
      </c>
      <c r="H334" s="28">
        <v>0</v>
      </c>
      <c r="I334" s="28">
        <v>0</v>
      </c>
      <c r="J334" s="28">
        <v>0</v>
      </c>
      <c r="K334" s="28">
        <v>0</v>
      </c>
      <c r="L334" s="28">
        <v>0</v>
      </c>
      <c r="M334" s="28">
        <v>0</v>
      </c>
      <c r="N334" s="28">
        <v>0</v>
      </c>
      <c r="O334" s="28">
        <v>0</v>
      </c>
      <c r="P334" s="28">
        <v>0</v>
      </c>
      <c r="Q334" s="28">
        <v>0</v>
      </c>
      <c r="R334" s="28">
        <v>0</v>
      </c>
      <c r="S334" s="28">
        <v>48</v>
      </c>
      <c r="T334" s="28">
        <v>94</v>
      </c>
      <c r="U334" s="28">
        <v>126</v>
      </c>
      <c r="V334" s="28">
        <v>180</v>
      </c>
    </row>
    <row r="335" spans="1:23" ht="89.25" x14ac:dyDescent="0.2">
      <c r="A335" s="28" t="s">
        <v>316</v>
      </c>
      <c r="B335" s="28" t="s">
        <v>330</v>
      </c>
      <c r="C335" s="28">
        <v>0</v>
      </c>
      <c r="D335" s="28">
        <v>0</v>
      </c>
      <c r="E335" s="28">
        <v>0</v>
      </c>
      <c r="F335" s="28">
        <v>0</v>
      </c>
      <c r="G335" s="28">
        <v>0</v>
      </c>
      <c r="H335" s="28">
        <v>0</v>
      </c>
      <c r="I335" s="28">
        <v>0</v>
      </c>
      <c r="J335" s="28">
        <v>4233</v>
      </c>
      <c r="K335" s="28">
        <v>6947</v>
      </c>
      <c r="L335" s="28">
        <v>2391</v>
      </c>
      <c r="M335" s="28">
        <v>7477</v>
      </c>
      <c r="N335" s="28">
        <v>14399</v>
      </c>
      <c r="O335" s="28">
        <v>16064</v>
      </c>
      <c r="P335" s="28">
        <v>13805</v>
      </c>
      <c r="Q335" s="28">
        <v>12699</v>
      </c>
      <c r="R335" s="28">
        <v>11929</v>
      </c>
      <c r="S335" s="28">
        <v>10539</v>
      </c>
      <c r="T335" s="28">
        <v>9168</v>
      </c>
      <c r="U335" s="28">
        <v>9561</v>
      </c>
      <c r="V335" s="28">
        <v>9187</v>
      </c>
    </row>
    <row r="336" spans="1:23" ht="76.5" x14ac:dyDescent="0.2">
      <c r="A336" s="28" t="s">
        <v>316</v>
      </c>
      <c r="B336" s="28" t="s">
        <v>331</v>
      </c>
      <c r="C336" s="28">
        <v>0</v>
      </c>
      <c r="D336" s="28">
        <v>0</v>
      </c>
      <c r="E336" s="28">
        <v>0</v>
      </c>
      <c r="F336" s="28">
        <v>0</v>
      </c>
      <c r="G336" s="28">
        <v>0</v>
      </c>
      <c r="H336" s="28">
        <v>0</v>
      </c>
      <c r="I336" s="28">
        <v>0</v>
      </c>
      <c r="J336" s="28">
        <v>0</v>
      </c>
      <c r="K336" s="28">
        <v>0</v>
      </c>
      <c r="L336" s="28">
        <v>0</v>
      </c>
      <c r="M336" s="28">
        <v>0</v>
      </c>
      <c r="N336" s="28">
        <v>0</v>
      </c>
      <c r="O336" s="28">
        <v>0</v>
      </c>
      <c r="P336" s="28">
        <v>0</v>
      </c>
      <c r="Q336" s="28">
        <v>0</v>
      </c>
      <c r="R336" s="28">
        <v>0</v>
      </c>
      <c r="S336" s="28">
        <v>0</v>
      </c>
      <c r="T336" s="28">
        <v>0</v>
      </c>
      <c r="U336" s="28">
        <v>0</v>
      </c>
      <c r="V336" s="28">
        <v>0</v>
      </c>
    </row>
    <row r="337" spans="1:23" ht="76.5" x14ac:dyDescent="0.2">
      <c r="A337" s="28" t="s">
        <v>316</v>
      </c>
      <c r="B337" s="28" t="s">
        <v>332</v>
      </c>
      <c r="C337" s="28">
        <f t="shared" ref="C337:V337" si="68">SUM(C338:C340)</f>
        <v>2017</v>
      </c>
      <c r="D337" s="28">
        <f t="shared" si="68"/>
        <v>2039</v>
      </c>
      <c r="E337" s="28">
        <f t="shared" si="68"/>
        <v>1998</v>
      </c>
      <c r="F337" s="28">
        <f t="shared" si="68"/>
        <v>2371</v>
      </c>
      <c r="G337" s="28">
        <f t="shared" si="68"/>
        <v>2935</v>
      </c>
      <c r="H337" s="28">
        <f t="shared" si="68"/>
        <v>2862</v>
      </c>
      <c r="I337" s="28">
        <f t="shared" si="68"/>
        <v>2777</v>
      </c>
      <c r="J337" s="28">
        <f t="shared" si="68"/>
        <v>3881</v>
      </c>
      <c r="K337" s="28">
        <f t="shared" si="68"/>
        <v>3286</v>
      </c>
      <c r="L337" s="28">
        <f t="shared" si="68"/>
        <v>1456</v>
      </c>
      <c r="M337" s="28">
        <f t="shared" si="68"/>
        <v>1325</v>
      </c>
      <c r="N337" s="28">
        <f t="shared" si="68"/>
        <v>1068</v>
      </c>
      <c r="O337" s="28">
        <f t="shared" si="68"/>
        <v>1375</v>
      </c>
      <c r="P337" s="28">
        <f t="shared" si="68"/>
        <v>652</v>
      </c>
      <c r="Q337" s="28">
        <f t="shared" si="68"/>
        <v>1018</v>
      </c>
      <c r="R337" s="28">
        <f t="shared" si="68"/>
        <v>1433</v>
      </c>
      <c r="S337" s="28">
        <f t="shared" si="68"/>
        <v>1297</v>
      </c>
      <c r="T337" s="28">
        <f t="shared" si="68"/>
        <v>1244</v>
      </c>
      <c r="U337" s="28">
        <f t="shared" si="68"/>
        <v>1355</v>
      </c>
      <c r="V337" s="28">
        <f t="shared" si="68"/>
        <v>1221</v>
      </c>
    </row>
    <row r="338" spans="1:23" ht="89.25" x14ac:dyDescent="0.2">
      <c r="A338" s="28" t="s">
        <v>316</v>
      </c>
      <c r="B338" s="28" t="s">
        <v>333</v>
      </c>
      <c r="C338" s="28">
        <v>206</v>
      </c>
      <c r="D338" s="28">
        <v>131</v>
      </c>
      <c r="E338" s="28">
        <v>119</v>
      </c>
      <c r="F338" s="28">
        <v>194</v>
      </c>
      <c r="G338" s="28">
        <v>219</v>
      </c>
      <c r="H338" s="28">
        <v>176</v>
      </c>
      <c r="I338" s="28">
        <v>189</v>
      </c>
      <c r="J338" s="28">
        <v>185</v>
      </c>
      <c r="K338" s="28">
        <v>234</v>
      </c>
      <c r="L338" s="28">
        <v>97</v>
      </c>
      <c r="M338" s="28">
        <v>112</v>
      </c>
      <c r="N338" s="28">
        <v>85</v>
      </c>
      <c r="O338" s="28">
        <v>99</v>
      </c>
      <c r="P338" s="28">
        <v>73</v>
      </c>
      <c r="Q338" s="28">
        <v>157</v>
      </c>
      <c r="R338" s="28">
        <v>342</v>
      </c>
      <c r="S338" s="28">
        <v>264</v>
      </c>
      <c r="T338" s="28">
        <v>293</v>
      </c>
      <c r="U338" s="28">
        <v>422</v>
      </c>
      <c r="V338" s="28">
        <v>426</v>
      </c>
      <c r="W338" s="6"/>
    </row>
    <row r="339" spans="1:23" ht="89.25" x14ac:dyDescent="0.2">
      <c r="A339" s="28" t="s">
        <v>316</v>
      </c>
      <c r="B339" s="28" t="s">
        <v>334</v>
      </c>
      <c r="C339" s="28">
        <v>622</v>
      </c>
      <c r="D339" s="28">
        <v>802</v>
      </c>
      <c r="E339" s="28">
        <v>836</v>
      </c>
      <c r="F339" s="28">
        <v>839</v>
      </c>
      <c r="G339" s="28">
        <v>1372</v>
      </c>
      <c r="H339" s="28">
        <v>1187</v>
      </c>
      <c r="I339" s="28">
        <v>1012</v>
      </c>
      <c r="J339" s="28">
        <v>952</v>
      </c>
      <c r="K339" s="28">
        <v>759</v>
      </c>
      <c r="L339" s="28">
        <v>325</v>
      </c>
      <c r="M339" s="28">
        <v>335</v>
      </c>
      <c r="N339" s="28">
        <v>291</v>
      </c>
      <c r="O339" s="28">
        <v>231</v>
      </c>
      <c r="P339" s="28">
        <v>166</v>
      </c>
      <c r="Q339" s="28">
        <v>333</v>
      </c>
      <c r="R339" s="28">
        <v>426</v>
      </c>
      <c r="S339" s="28">
        <v>318</v>
      </c>
      <c r="T339" s="28">
        <v>427</v>
      </c>
      <c r="U339" s="28">
        <v>305</v>
      </c>
      <c r="V339" s="28">
        <v>270</v>
      </c>
      <c r="W339" s="6"/>
    </row>
    <row r="340" spans="1:23" ht="89.25" x14ac:dyDescent="0.2">
      <c r="A340" s="28" t="s">
        <v>316</v>
      </c>
      <c r="B340" s="28" t="s">
        <v>335</v>
      </c>
      <c r="C340" s="28">
        <v>1189</v>
      </c>
      <c r="D340" s="28">
        <v>1106</v>
      </c>
      <c r="E340" s="28">
        <v>1043</v>
      </c>
      <c r="F340" s="28">
        <v>1338</v>
      </c>
      <c r="G340" s="28">
        <v>1344</v>
      </c>
      <c r="H340" s="28">
        <v>1499</v>
      </c>
      <c r="I340" s="28">
        <v>1576</v>
      </c>
      <c r="J340" s="28">
        <v>2744</v>
      </c>
      <c r="K340" s="28">
        <v>2293</v>
      </c>
      <c r="L340" s="28">
        <v>1034</v>
      </c>
      <c r="M340" s="28">
        <v>878</v>
      </c>
      <c r="N340" s="28">
        <v>692</v>
      </c>
      <c r="O340" s="28">
        <v>1045</v>
      </c>
      <c r="P340" s="28">
        <v>413</v>
      </c>
      <c r="Q340" s="28">
        <v>528</v>
      </c>
      <c r="R340" s="28">
        <v>665</v>
      </c>
      <c r="S340" s="28">
        <v>715</v>
      </c>
      <c r="T340" s="28">
        <v>524</v>
      </c>
      <c r="U340" s="28">
        <v>628</v>
      </c>
      <c r="V340" s="28">
        <v>525</v>
      </c>
      <c r="W340" s="6"/>
    </row>
    <row r="341" spans="1:23" ht="76.5" x14ac:dyDescent="0.2">
      <c r="A341" s="28" t="s">
        <v>316</v>
      </c>
      <c r="B341" s="28" t="s">
        <v>336</v>
      </c>
      <c r="C341" s="28">
        <f t="shared" ref="C341:V341" si="69">SUM(C342:C343)</f>
        <v>0</v>
      </c>
      <c r="D341" s="28">
        <f t="shared" si="69"/>
        <v>0</v>
      </c>
      <c r="E341" s="28">
        <f t="shared" si="69"/>
        <v>0</v>
      </c>
      <c r="F341" s="28">
        <f t="shared" si="69"/>
        <v>0</v>
      </c>
      <c r="G341" s="28">
        <f t="shared" si="69"/>
        <v>0</v>
      </c>
      <c r="H341" s="28">
        <f t="shared" si="69"/>
        <v>0</v>
      </c>
      <c r="I341" s="28">
        <f t="shared" si="69"/>
        <v>0</v>
      </c>
      <c r="J341" s="28">
        <f t="shared" si="69"/>
        <v>0</v>
      </c>
      <c r="K341" s="28">
        <f t="shared" si="69"/>
        <v>0</v>
      </c>
      <c r="L341" s="28">
        <f t="shared" si="69"/>
        <v>0</v>
      </c>
      <c r="M341" s="28">
        <f t="shared" si="69"/>
        <v>0</v>
      </c>
      <c r="N341" s="28">
        <f t="shared" si="69"/>
        <v>0</v>
      </c>
      <c r="O341" s="28">
        <f t="shared" si="69"/>
        <v>0</v>
      </c>
      <c r="P341" s="28">
        <f t="shared" si="69"/>
        <v>0</v>
      </c>
      <c r="Q341" s="28">
        <f t="shared" si="69"/>
        <v>0</v>
      </c>
      <c r="R341" s="28">
        <f t="shared" si="69"/>
        <v>0</v>
      </c>
      <c r="S341" s="28">
        <f t="shared" si="69"/>
        <v>91</v>
      </c>
      <c r="T341" s="28">
        <f t="shared" si="69"/>
        <v>116</v>
      </c>
      <c r="U341" s="28">
        <f t="shared" si="69"/>
        <v>116</v>
      </c>
      <c r="V341" s="28">
        <f t="shared" si="69"/>
        <v>128</v>
      </c>
      <c r="W341" s="6"/>
    </row>
    <row r="342" spans="1:23" ht="89.25" x14ac:dyDescent="0.2">
      <c r="A342" s="28" t="s">
        <v>316</v>
      </c>
      <c r="B342" s="28" t="s">
        <v>337</v>
      </c>
      <c r="C342" s="28">
        <v>0</v>
      </c>
      <c r="D342" s="28">
        <v>0</v>
      </c>
      <c r="E342" s="28">
        <v>0</v>
      </c>
      <c r="F342" s="28">
        <v>0</v>
      </c>
      <c r="G342" s="28">
        <v>0</v>
      </c>
      <c r="H342" s="28">
        <v>0</v>
      </c>
      <c r="I342" s="28">
        <v>0</v>
      </c>
      <c r="J342" s="28">
        <v>0</v>
      </c>
      <c r="K342" s="28">
        <v>0</v>
      </c>
      <c r="L342" s="28">
        <v>0</v>
      </c>
      <c r="M342" s="28">
        <v>0</v>
      </c>
      <c r="N342" s="28">
        <v>0</v>
      </c>
      <c r="O342" s="28">
        <v>0</v>
      </c>
      <c r="P342" s="28">
        <v>0</v>
      </c>
      <c r="Q342" s="28">
        <v>0</v>
      </c>
      <c r="R342" s="28">
        <v>0</v>
      </c>
      <c r="S342" s="28">
        <v>60</v>
      </c>
      <c r="T342" s="28">
        <v>58</v>
      </c>
      <c r="U342" s="28">
        <v>72</v>
      </c>
      <c r="V342" s="28">
        <v>52</v>
      </c>
    </row>
    <row r="343" spans="1:23" ht="89.25" x14ac:dyDescent="0.2">
      <c r="A343" s="28" t="s">
        <v>316</v>
      </c>
      <c r="B343" s="28" t="s">
        <v>338</v>
      </c>
      <c r="C343" s="28">
        <v>0</v>
      </c>
      <c r="D343" s="28">
        <v>0</v>
      </c>
      <c r="E343" s="28">
        <v>0</v>
      </c>
      <c r="F343" s="28">
        <v>0</v>
      </c>
      <c r="G343" s="28">
        <v>0</v>
      </c>
      <c r="H343" s="28">
        <v>0</v>
      </c>
      <c r="I343" s="28">
        <v>0</v>
      </c>
      <c r="J343" s="28">
        <v>0</v>
      </c>
      <c r="K343" s="28">
        <v>0</v>
      </c>
      <c r="L343" s="28">
        <v>0</v>
      </c>
      <c r="M343" s="28">
        <v>0</v>
      </c>
      <c r="N343" s="28">
        <v>0</v>
      </c>
      <c r="O343" s="28">
        <v>0</v>
      </c>
      <c r="P343" s="28">
        <v>0</v>
      </c>
      <c r="Q343" s="28">
        <v>0</v>
      </c>
      <c r="R343" s="28">
        <v>0</v>
      </c>
      <c r="S343" s="28">
        <v>31</v>
      </c>
      <c r="T343" s="28">
        <v>58</v>
      </c>
      <c r="U343" s="28">
        <v>44</v>
      </c>
      <c r="V343" s="28">
        <v>76</v>
      </c>
    </row>
    <row r="344" spans="1:23" ht="63.75" x14ac:dyDescent="0.2">
      <c r="A344" s="28" t="s">
        <v>339</v>
      </c>
      <c r="B344" s="28" t="s">
        <v>340</v>
      </c>
      <c r="C344" s="28">
        <f t="shared" ref="C344:U344" si="70">C346+C367+C369+C389+C390+C391+C392+C393+C381</f>
        <v>814486</v>
      </c>
      <c r="D344" s="28">
        <f t="shared" si="70"/>
        <v>917694</v>
      </c>
      <c r="E344" s="28">
        <f t="shared" si="70"/>
        <v>1051850</v>
      </c>
      <c r="F344" s="28">
        <f t="shared" si="70"/>
        <v>1001773</v>
      </c>
      <c r="G344" s="28">
        <f t="shared" si="70"/>
        <v>1068119</v>
      </c>
      <c r="H344" s="28">
        <f t="shared" si="70"/>
        <v>664771</v>
      </c>
      <c r="I344" s="28">
        <f t="shared" si="70"/>
        <v>636707</v>
      </c>
      <c r="J344" s="28">
        <f t="shared" si="70"/>
        <v>681986</v>
      </c>
      <c r="K344" s="28">
        <f t="shared" si="70"/>
        <v>701093</v>
      </c>
      <c r="L344" s="28">
        <f t="shared" si="70"/>
        <v>759066</v>
      </c>
      <c r="M344" s="28">
        <f t="shared" si="70"/>
        <v>742865</v>
      </c>
      <c r="N344" s="28">
        <f t="shared" si="70"/>
        <v>808260</v>
      </c>
      <c r="O344" s="28">
        <f t="shared" si="70"/>
        <v>716390</v>
      </c>
      <c r="P344" s="28">
        <f t="shared" si="70"/>
        <v>744399</v>
      </c>
      <c r="Q344" s="28">
        <f t="shared" si="70"/>
        <v>769882</v>
      </c>
      <c r="R344" s="28">
        <f t="shared" si="70"/>
        <v>822944</v>
      </c>
      <c r="S344" s="28">
        <f t="shared" si="70"/>
        <v>842561</v>
      </c>
      <c r="T344" s="28">
        <f t="shared" si="70"/>
        <v>798240</v>
      </c>
      <c r="U344" s="28">
        <f t="shared" si="70"/>
        <v>808375</v>
      </c>
      <c r="V344" s="28">
        <f>V346+V367+V369+V389+V390+V391+V392+V393+V381</f>
        <v>911686</v>
      </c>
    </row>
    <row r="345" spans="1:23" ht="38.25" x14ac:dyDescent="0.2">
      <c r="A345" s="28" t="s">
        <v>339</v>
      </c>
      <c r="B345" s="28" t="s">
        <v>341</v>
      </c>
      <c r="C345" s="28">
        <f t="shared" ref="C345:V345" si="71">C348+C363+C366+C368</f>
        <v>777271</v>
      </c>
      <c r="D345" s="28">
        <f t="shared" si="71"/>
        <v>861626</v>
      </c>
      <c r="E345" s="28">
        <f t="shared" si="71"/>
        <v>944075</v>
      </c>
      <c r="F345" s="28">
        <f t="shared" si="71"/>
        <v>894941</v>
      </c>
      <c r="G345" s="28">
        <f t="shared" si="71"/>
        <v>955285</v>
      </c>
      <c r="H345" s="28">
        <f t="shared" si="71"/>
        <v>550751</v>
      </c>
      <c r="I345" s="28">
        <f t="shared" si="71"/>
        <v>511320</v>
      </c>
      <c r="J345" s="28">
        <f t="shared" si="71"/>
        <v>536666</v>
      </c>
      <c r="K345" s="28">
        <f t="shared" si="71"/>
        <v>569911</v>
      </c>
      <c r="L345" s="28">
        <f t="shared" si="71"/>
        <v>627892</v>
      </c>
      <c r="M345" s="28">
        <f t="shared" si="71"/>
        <v>634460</v>
      </c>
      <c r="N345" s="28">
        <f t="shared" si="71"/>
        <v>669917</v>
      </c>
      <c r="O345" s="28">
        <f t="shared" si="71"/>
        <v>543582</v>
      </c>
      <c r="P345" s="28">
        <f t="shared" si="71"/>
        <v>561412</v>
      </c>
      <c r="Q345" s="28">
        <f t="shared" si="71"/>
        <v>612825</v>
      </c>
      <c r="R345" s="28">
        <f t="shared" si="71"/>
        <v>610761</v>
      </c>
      <c r="S345" s="28">
        <f t="shared" si="71"/>
        <v>616813</v>
      </c>
      <c r="T345" s="28">
        <f t="shared" si="71"/>
        <v>588573</v>
      </c>
      <c r="U345" s="28">
        <f t="shared" si="71"/>
        <v>590266</v>
      </c>
      <c r="V345" s="28">
        <f t="shared" si="71"/>
        <v>703388</v>
      </c>
    </row>
    <row r="346" spans="1:23" ht="51" x14ac:dyDescent="0.2">
      <c r="A346" s="28" t="s">
        <v>339</v>
      </c>
      <c r="B346" s="28" t="s">
        <v>342</v>
      </c>
      <c r="C346" s="28">
        <f t="shared" ref="C346:V346" si="72">C348+C360+C364-C363-C366</f>
        <v>722895</v>
      </c>
      <c r="D346" s="28">
        <f t="shared" si="72"/>
        <v>806849</v>
      </c>
      <c r="E346" s="28">
        <f t="shared" si="72"/>
        <v>896509</v>
      </c>
      <c r="F346" s="28">
        <f t="shared" si="72"/>
        <v>842770</v>
      </c>
      <c r="G346" s="28">
        <f t="shared" si="72"/>
        <v>891538</v>
      </c>
      <c r="H346" s="28">
        <f t="shared" si="72"/>
        <v>490411</v>
      </c>
      <c r="I346" s="28">
        <f t="shared" si="72"/>
        <v>455900</v>
      </c>
      <c r="J346" s="28">
        <f t="shared" si="72"/>
        <v>488121</v>
      </c>
      <c r="K346" s="28">
        <f t="shared" si="72"/>
        <v>514779</v>
      </c>
      <c r="L346" s="28">
        <f t="shared" si="72"/>
        <v>556531</v>
      </c>
      <c r="M346" s="28">
        <f t="shared" si="72"/>
        <v>550375</v>
      </c>
      <c r="N346" s="28">
        <f t="shared" si="72"/>
        <v>597054</v>
      </c>
      <c r="O346" s="28">
        <f t="shared" si="72"/>
        <v>497807</v>
      </c>
      <c r="P346" s="28">
        <f t="shared" si="72"/>
        <v>510003</v>
      </c>
      <c r="Q346" s="28">
        <f t="shared" si="72"/>
        <v>536239</v>
      </c>
      <c r="R346" s="28">
        <f t="shared" si="72"/>
        <v>545300</v>
      </c>
      <c r="S346" s="28">
        <f t="shared" si="72"/>
        <v>559377</v>
      </c>
      <c r="T346" s="28">
        <f t="shared" si="72"/>
        <v>518326</v>
      </c>
      <c r="U346" s="28">
        <f t="shared" si="72"/>
        <v>511998</v>
      </c>
      <c r="V346" s="28">
        <f t="shared" si="72"/>
        <v>619147</v>
      </c>
    </row>
    <row r="347" spans="1:23" ht="63.75" x14ac:dyDescent="0.2">
      <c r="A347" s="28" t="s">
        <v>339</v>
      </c>
      <c r="B347" s="28" t="s">
        <v>343</v>
      </c>
      <c r="C347" s="28">
        <f t="shared" ref="C347:V347" si="73">C348+C360+C364</f>
        <v>853444</v>
      </c>
      <c r="D347" s="28">
        <f t="shared" si="73"/>
        <v>941930</v>
      </c>
      <c r="E347" s="28">
        <f t="shared" si="73"/>
        <v>1032217</v>
      </c>
      <c r="F347" s="28">
        <f t="shared" si="73"/>
        <v>987088</v>
      </c>
      <c r="G347" s="28">
        <f t="shared" si="73"/>
        <v>1074709</v>
      </c>
      <c r="H347" s="28">
        <f t="shared" si="73"/>
        <v>674066</v>
      </c>
      <c r="I347" s="28">
        <f t="shared" si="73"/>
        <v>638298</v>
      </c>
      <c r="J347" s="28">
        <f t="shared" si="73"/>
        <v>671357</v>
      </c>
      <c r="K347" s="28">
        <f t="shared" si="73"/>
        <v>723585</v>
      </c>
      <c r="L347" s="28">
        <f t="shared" si="73"/>
        <v>823839</v>
      </c>
      <c r="M347" s="28">
        <f t="shared" si="73"/>
        <v>831837</v>
      </c>
      <c r="N347" s="28">
        <f t="shared" si="73"/>
        <v>900252</v>
      </c>
      <c r="O347" s="28">
        <f t="shared" si="73"/>
        <v>701108</v>
      </c>
      <c r="P347" s="28">
        <f t="shared" si="73"/>
        <v>710785</v>
      </c>
      <c r="Q347" s="28">
        <f t="shared" si="73"/>
        <v>749942</v>
      </c>
      <c r="R347" s="28">
        <f t="shared" si="73"/>
        <v>743652</v>
      </c>
      <c r="S347" s="28">
        <f t="shared" si="73"/>
        <v>746145</v>
      </c>
      <c r="T347" s="28">
        <f t="shared" si="73"/>
        <v>702699</v>
      </c>
      <c r="U347" s="28">
        <f t="shared" si="73"/>
        <v>705885</v>
      </c>
      <c r="V347" s="28">
        <f t="shared" si="73"/>
        <v>846624</v>
      </c>
    </row>
    <row r="348" spans="1:23" ht="51" x14ac:dyDescent="0.2">
      <c r="A348" s="28" t="s">
        <v>339</v>
      </c>
      <c r="B348" s="28" t="s">
        <v>344</v>
      </c>
      <c r="C348" s="28">
        <f t="shared" ref="C348:V348" si="74">SUM(C349:C359)</f>
        <v>635913</v>
      </c>
      <c r="D348" s="28">
        <f t="shared" si="74"/>
        <v>714282</v>
      </c>
      <c r="E348" s="28">
        <f t="shared" si="74"/>
        <v>797006</v>
      </c>
      <c r="F348" s="28">
        <f t="shared" si="74"/>
        <v>736193</v>
      </c>
      <c r="G348" s="28">
        <f t="shared" si="74"/>
        <v>758405</v>
      </c>
      <c r="H348" s="28">
        <f t="shared" si="74"/>
        <v>350814</v>
      </c>
      <c r="I348" s="28">
        <f t="shared" si="74"/>
        <v>311807</v>
      </c>
      <c r="J348" s="28">
        <f t="shared" si="74"/>
        <v>336320</v>
      </c>
      <c r="K348" s="28">
        <f t="shared" si="74"/>
        <v>344001</v>
      </c>
      <c r="L348" s="28">
        <f t="shared" si="74"/>
        <v>342179</v>
      </c>
      <c r="M348" s="28">
        <f t="shared" si="74"/>
        <v>333678</v>
      </c>
      <c r="N348" s="28">
        <f t="shared" si="74"/>
        <v>350405</v>
      </c>
      <c r="O348" s="28">
        <f t="shared" si="74"/>
        <v>323461</v>
      </c>
      <c r="P348" s="28">
        <f t="shared" si="74"/>
        <v>344577</v>
      </c>
      <c r="Q348" s="28">
        <f t="shared" si="74"/>
        <v>379684</v>
      </c>
      <c r="R348" s="28">
        <f t="shared" si="74"/>
        <v>393868</v>
      </c>
      <c r="S348" s="28">
        <f t="shared" si="74"/>
        <v>412255</v>
      </c>
      <c r="T348" s="28">
        <f t="shared" si="74"/>
        <v>384519</v>
      </c>
      <c r="U348" s="28">
        <f t="shared" si="74"/>
        <v>376411</v>
      </c>
      <c r="V348" s="28">
        <f t="shared" si="74"/>
        <v>452484</v>
      </c>
    </row>
    <row r="349" spans="1:23" ht="38.25" x14ac:dyDescent="0.2">
      <c r="A349" s="28" t="s">
        <v>339</v>
      </c>
      <c r="B349" s="28" t="s">
        <v>345</v>
      </c>
      <c r="C349" s="28">
        <v>41831</v>
      </c>
      <c r="D349" s="28">
        <v>41668</v>
      </c>
      <c r="E349" s="28">
        <v>42163</v>
      </c>
      <c r="F349" s="28">
        <v>46313</v>
      </c>
      <c r="G349" s="28">
        <v>51861</v>
      </c>
      <c r="H349" s="28">
        <v>47220</v>
      </c>
      <c r="I349" s="28">
        <v>49182</v>
      </c>
      <c r="J349" s="28">
        <v>53341</v>
      </c>
      <c r="K349" s="28">
        <v>52266</v>
      </c>
      <c r="L349" s="28">
        <v>54185</v>
      </c>
      <c r="M349" s="28">
        <v>58340</v>
      </c>
      <c r="N349" s="28">
        <v>62899</v>
      </c>
      <c r="O349" s="28">
        <v>38000</v>
      </c>
      <c r="P349" s="28">
        <v>21040</v>
      </c>
      <c r="Q349" s="28">
        <v>23531</v>
      </c>
      <c r="R349" s="28">
        <v>19355</v>
      </c>
      <c r="S349" s="28">
        <v>18998</v>
      </c>
      <c r="T349" s="28">
        <v>16038</v>
      </c>
      <c r="U349" s="28">
        <v>15858</v>
      </c>
      <c r="V349" s="28">
        <v>18506</v>
      </c>
    </row>
    <row r="350" spans="1:23" ht="38.25" x14ac:dyDescent="0.2">
      <c r="A350" s="28" t="s">
        <v>339</v>
      </c>
      <c r="B350" s="28" t="s">
        <v>346</v>
      </c>
      <c r="C350" s="28">
        <v>0</v>
      </c>
      <c r="D350" s="28">
        <v>0</v>
      </c>
      <c r="E350" s="28">
        <v>0</v>
      </c>
      <c r="F350" s="28">
        <v>0</v>
      </c>
      <c r="G350" s="28">
        <v>0</v>
      </c>
      <c r="H350" s="28">
        <v>0</v>
      </c>
      <c r="I350" s="28">
        <v>0</v>
      </c>
      <c r="J350" s="28">
        <v>0</v>
      </c>
      <c r="K350" s="28"/>
      <c r="L350" s="28">
        <v>0</v>
      </c>
      <c r="M350" s="28">
        <v>0</v>
      </c>
      <c r="N350" s="28">
        <v>29195</v>
      </c>
      <c r="O350" s="28">
        <v>38697</v>
      </c>
      <c r="P350" s="28">
        <v>54966</v>
      </c>
      <c r="Q350" s="28">
        <v>77672</v>
      </c>
      <c r="R350" s="28">
        <v>74323</v>
      </c>
      <c r="S350" s="28">
        <v>73979</v>
      </c>
      <c r="T350" s="28">
        <v>71290</v>
      </c>
      <c r="U350" s="28">
        <v>80961</v>
      </c>
      <c r="V350" s="28">
        <f>94613+36259+191</f>
        <v>131063</v>
      </c>
    </row>
    <row r="351" spans="1:23" ht="38.25" x14ac:dyDescent="0.2">
      <c r="A351" s="28" t="s">
        <v>339</v>
      </c>
      <c r="B351" s="28" t="s">
        <v>347</v>
      </c>
      <c r="C351" s="28">
        <v>0</v>
      </c>
      <c r="D351" s="28">
        <v>2129</v>
      </c>
      <c r="E351" s="28">
        <v>2309</v>
      </c>
      <c r="F351" s="28">
        <v>2452</v>
      </c>
      <c r="G351" s="28">
        <v>2708</v>
      </c>
      <c r="H351" s="28">
        <v>2694</v>
      </c>
      <c r="I351" s="28">
        <v>2563</v>
      </c>
      <c r="J351" s="28">
        <v>2524</v>
      </c>
      <c r="K351" s="28">
        <v>2176</v>
      </c>
      <c r="L351" s="28">
        <v>2628</v>
      </c>
      <c r="M351" s="28">
        <v>2723</v>
      </c>
      <c r="N351" s="28">
        <v>3394</v>
      </c>
      <c r="O351" s="28">
        <v>3208</v>
      </c>
      <c r="P351" s="28">
        <v>3277</v>
      </c>
      <c r="Q351" s="28">
        <v>3535</v>
      </c>
      <c r="R351" s="28">
        <v>3835</v>
      </c>
      <c r="S351" s="28">
        <v>3237</v>
      </c>
      <c r="T351" s="28">
        <v>2972</v>
      </c>
      <c r="U351" s="28">
        <v>2769</v>
      </c>
      <c r="V351" s="28">
        <v>3646</v>
      </c>
    </row>
    <row r="352" spans="1:23" ht="38.25" x14ac:dyDescent="0.2">
      <c r="A352" s="28" t="s">
        <v>339</v>
      </c>
      <c r="B352" s="28" t="s">
        <v>348</v>
      </c>
      <c r="C352" s="28">
        <v>16068</v>
      </c>
      <c r="D352" s="28">
        <v>17579</v>
      </c>
      <c r="E352" s="28">
        <v>18219</v>
      </c>
      <c r="F352" s="28">
        <v>18989</v>
      </c>
      <c r="G352" s="28">
        <v>23591</v>
      </c>
      <c r="H352" s="28">
        <v>23730</v>
      </c>
      <c r="I352" s="28">
        <v>21389</v>
      </c>
      <c r="J352" s="28">
        <v>22558</v>
      </c>
      <c r="K352" s="28">
        <v>22250</v>
      </c>
      <c r="L352" s="28">
        <v>25722</v>
      </c>
      <c r="M352" s="28">
        <v>26309</v>
      </c>
      <c r="N352" s="28">
        <v>25873</v>
      </c>
      <c r="O352" s="28">
        <v>26320</v>
      </c>
      <c r="P352" s="28">
        <v>26645</v>
      </c>
      <c r="Q352" s="28">
        <v>26916</v>
      </c>
      <c r="R352" s="28">
        <v>28547</v>
      </c>
      <c r="S352" s="28">
        <v>29705</v>
      </c>
      <c r="T352" s="28">
        <v>28550</v>
      </c>
      <c r="U352" s="28">
        <v>27259</v>
      </c>
      <c r="V352" s="28">
        <v>31060</v>
      </c>
    </row>
    <row r="353" spans="1:22" ht="63.75" x14ac:dyDescent="0.2">
      <c r="A353" s="28" t="s">
        <v>339</v>
      </c>
      <c r="B353" s="28" t="s">
        <v>349</v>
      </c>
      <c r="C353" s="28">
        <v>18568</v>
      </c>
      <c r="D353" s="28">
        <v>14581</v>
      </c>
      <c r="E353" s="28">
        <v>13190</v>
      </c>
      <c r="F353" s="28">
        <v>11771</v>
      </c>
      <c r="G353" s="28">
        <v>15757</v>
      </c>
      <c r="H353" s="28">
        <v>15297</v>
      </c>
      <c r="I353" s="28">
        <v>15870</v>
      </c>
      <c r="J353" s="28">
        <v>17138</v>
      </c>
      <c r="K353" s="28">
        <v>18239</v>
      </c>
      <c r="L353" s="28">
        <v>16717</v>
      </c>
      <c r="M353" s="28">
        <v>10391</v>
      </c>
      <c r="N353" s="28">
        <v>11311</v>
      </c>
      <c r="O353" s="28">
        <v>15121</v>
      </c>
      <c r="P353" s="28">
        <v>10582</v>
      </c>
      <c r="Q353" s="28">
        <v>12262</v>
      </c>
      <c r="R353" s="28">
        <v>15113</v>
      </c>
      <c r="S353" s="28">
        <v>17662</v>
      </c>
      <c r="T353" s="28">
        <v>20170</v>
      </c>
      <c r="U353" s="28">
        <v>16975</v>
      </c>
      <c r="V353" s="28">
        <v>17575</v>
      </c>
    </row>
    <row r="354" spans="1:22" ht="38.25" x14ac:dyDescent="0.2">
      <c r="A354" s="28" t="s">
        <v>339</v>
      </c>
      <c r="B354" s="28" t="s">
        <v>350</v>
      </c>
      <c r="C354" s="28">
        <v>23967</v>
      </c>
      <c r="D354" s="28">
        <v>27076</v>
      </c>
      <c r="E354" s="28">
        <v>19109</v>
      </c>
      <c r="F354" s="28">
        <v>17798</v>
      </c>
      <c r="G354" s="28">
        <v>21610</v>
      </c>
      <c r="H354" s="28">
        <v>21248</v>
      </c>
      <c r="I354" s="28">
        <v>22976</v>
      </c>
      <c r="J354" s="28">
        <v>23991</v>
      </c>
      <c r="K354" s="28">
        <v>25152</v>
      </c>
      <c r="L354" s="28">
        <v>30149</v>
      </c>
      <c r="M354" s="28">
        <v>29877</v>
      </c>
      <c r="N354" s="28">
        <v>31398</v>
      </c>
      <c r="O354" s="28">
        <v>32820</v>
      </c>
      <c r="P354" s="28">
        <v>35052</v>
      </c>
      <c r="Q354" s="28">
        <v>37259</v>
      </c>
      <c r="R354" s="28">
        <v>40935</v>
      </c>
      <c r="S354" s="28">
        <v>41676</v>
      </c>
      <c r="T354" s="28">
        <v>43907</v>
      </c>
      <c r="U354" s="28">
        <v>36120</v>
      </c>
      <c r="V354" s="28">
        <v>35515</v>
      </c>
    </row>
    <row r="355" spans="1:22" ht="51" x14ac:dyDescent="0.2">
      <c r="A355" s="28" t="s">
        <v>339</v>
      </c>
      <c r="B355" s="28" t="s">
        <v>351</v>
      </c>
      <c r="C355" s="28">
        <v>58143</v>
      </c>
      <c r="D355" s="28">
        <v>53454</v>
      </c>
      <c r="E355" s="28">
        <v>48817</v>
      </c>
      <c r="F355" s="28">
        <v>45384</v>
      </c>
      <c r="G355" s="28">
        <v>50711</v>
      </c>
      <c r="H355" s="28">
        <v>51159</v>
      </c>
      <c r="I355" s="28">
        <v>46973</v>
      </c>
      <c r="J355" s="28">
        <v>50450</v>
      </c>
      <c r="K355" s="28">
        <v>54602</v>
      </c>
      <c r="L355" s="28">
        <v>53671</v>
      </c>
      <c r="M355" s="28">
        <v>51677</v>
      </c>
      <c r="N355" s="28">
        <v>51995</v>
      </c>
      <c r="O355" s="28">
        <v>51691</v>
      </c>
      <c r="P355" s="28">
        <v>52089</v>
      </c>
      <c r="Q355" s="28">
        <v>46590</v>
      </c>
      <c r="R355" s="28">
        <v>44413</v>
      </c>
      <c r="S355" s="28">
        <v>44001</v>
      </c>
      <c r="T355" s="28">
        <v>34755</v>
      </c>
      <c r="U355" s="28">
        <v>35532</v>
      </c>
      <c r="V355" s="28">
        <v>42894</v>
      </c>
    </row>
    <row r="356" spans="1:22" ht="38.25" x14ac:dyDescent="0.2">
      <c r="A356" s="28" t="s">
        <v>339</v>
      </c>
      <c r="B356" s="28" t="s">
        <v>352</v>
      </c>
      <c r="C356" s="28">
        <v>438173</v>
      </c>
      <c r="D356" s="28">
        <v>506968</v>
      </c>
      <c r="E356" s="28">
        <v>597590</v>
      </c>
      <c r="F356" s="28">
        <v>533826</v>
      </c>
      <c r="G356" s="28">
        <v>530538</v>
      </c>
      <c r="H356" s="28">
        <v>130578</v>
      </c>
      <c r="I356" s="28">
        <v>95021</v>
      </c>
      <c r="J356" s="28">
        <v>100113</v>
      </c>
      <c r="K356" s="28">
        <v>101505</v>
      </c>
      <c r="L356" s="28">
        <v>86997</v>
      </c>
      <c r="M356" s="28">
        <v>74319</v>
      </c>
      <c r="N356" s="28">
        <v>59617</v>
      </c>
      <c r="O356" s="28">
        <v>57336</v>
      </c>
      <c r="P356" s="28">
        <v>59989</v>
      </c>
      <c r="Q356" s="28">
        <v>68238</v>
      </c>
      <c r="R356" s="28">
        <v>75235</v>
      </c>
      <c r="S356" s="28">
        <v>83428</v>
      </c>
      <c r="T356" s="28">
        <v>83340</v>
      </c>
      <c r="U356" s="28">
        <v>79020</v>
      </c>
      <c r="V356" s="28">
        <v>83590</v>
      </c>
    </row>
    <row r="357" spans="1:22" ht="51" x14ac:dyDescent="0.2">
      <c r="A357" s="28" t="s">
        <v>339</v>
      </c>
      <c r="B357" s="28" t="s">
        <v>353</v>
      </c>
      <c r="C357" s="28">
        <v>7679</v>
      </c>
      <c r="D357" s="28">
        <v>7568</v>
      </c>
      <c r="E357" s="28">
        <v>8099</v>
      </c>
      <c r="F357" s="28">
        <v>10329</v>
      </c>
      <c r="G357" s="28">
        <v>9481</v>
      </c>
      <c r="H357" s="28">
        <v>10073</v>
      </c>
      <c r="I357" s="28">
        <v>10935</v>
      </c>
      <c r="J357" s="28">
        <v>14533</v>
      </c>
      <c r="K357" s="28">
        <v>13892</v>
      </c>
      <c r="L357" s="28">
        <v>17225</v>
      </c>
      <c r="M357" s="28">
        <v>19752</v>
      </c>
      <c r="N357" s="28">
        <v>18450</v>
      </c>
      <c r="O357" s="28">
        <v>18118</v>
      </c>
      <c r="P357" s="28">
        <v>20559</v>
      </c>
      <c r="Q357" s="28">
        <v>25349</v>
      </c>
      <c r="R357" s="28">
        <v>29025</v>
      </c>
      <c r="S357" s="28">
        <v>33752</v>
      </c>
      <c r="T357" s="28">
        <v>26291</v>
      </c>
      <c r="U357" s="28">
        <v>24572</v>
      </c>
      <c r="V357" s="28">
        <v>26959</v>
      </c>
    </row>
    <row r="358" spans="1:22" ht="51" x14ac:dyDescent="0.2">
      <c r="A358" s="28" t="s">
        <v>339</v>
      </c>
      <c r="B358" s="28" t="s">
        <v>354</v>
      </c>
      <c r="C358" s="28">
        <v>30852</v>
      </c>
      <c r="D358" s="28">
        <v>42258</v>
      </c>
      <c r="E358" s="28">
        <v>46349</v>
      </c>
      <c r="F358" s="28">
        <v>47922</v>
      </c>
      <c r="G358" s="28">
        <v>50918</v>
      </c>
      <c r="H358" s="28">
        <v>47242</v>
      </c>
      <c r="I358" s="28">
        <v>45884</v>
      </c>
      <c r="J358" s="28">
        <v>50571</v>
      </c>
      <c r="K358" s="28">
        <v>52933</v>
      </c>
      <c r="L358" s="28">
        <v>53175</v>
      </c>
      <c r="M358" s="28">
        <v>57547</v>
      </c>
      <c r="N358" s="28">
        <v>54951</v>
      </c>
      <c r="O358" s="28">
        <v>41182</v>
      </c>
      <c r="P358" s="28">
        <v>59452</v>
      </c>
      <c r="Q358" s="28">
        <v>57291</v>
      </c>
      <c r="R358" s="28">
        <v>62125</v>
      </c>
      <c r="S358" s="28">
        <v>64509</v>
      </c>
      <c r="T358" s="28">
        <v>56330</v>
      </c>
      <c r="U358" s="28">
        <v>56412</v>
      </c>
      <c r="V358" s="28">
        <v>60854</v>
      </c>
    </row>
    <row r="359" spans="1:22" ht="38.25" x14ac:dyDescent="0.2">
      <c r="A359" s="28" t="s">
        <v>339</v>
      </c>
      <c r="B359" s="28" t="s">
        <v>355</v>
      </c>
      <c r="C359" s="28">
        <v>632</v>
      </c>
      <c r="D359" s="28">
        <v>1001</v>
      </c>
      <c r="E359" s="28">
        <v>1161</v>
      </c>
      <c r="F359" s="28">
        <v>1409</v>
      </c>
      <c r="G359" s="28">
        <v>1230</v>
      </c>
      <c r="H359" s="28">
        <v>1573</v>
      </c>
      <c r="I359" s="28">
        <v>1014</v>
      </c>
      <c r="J359" s="28">
        <v>1101</v>
      </c>
      <c r="K359" s="28">
        <v>986</v>
      </c>
      <c r="L359" s="28">
        <v>1710</v>
      </c>
      <c r="M359" s="28">
        <v>2743</v>
      </c>
      <c r="N359" s="28">
        <v>1322</v>
      </c>
      <c r="O359" s="28">
        <v>968</v>
      </c>
      <c r="P359" s="28">
        <v>926</v>
      </c>
      <c r="Q359" s="28">
        <v>1041</v>
      </c>
      <c r="R359" s="28">
        <v>962</v>
      </c>
      <c r="S359" s="28">
        <v>1308</v>
      </c>
      <c r="T359" s="28">
        <v>876</v>
      </c>
      <c r="U359" s="28">
        <v>933</v>
      </c>
      <c r="V359" s="28">
        <v>822</v>
      </c>
    </row>
    <row r="360" spans="1:22" ht="38.25" x14ac:dyDescent="0.2">
      <c r="A360" s="28" t="s">
        <v>339</v>
      </c>
      <c r="B360" s="28" t="s">
        <v>356</v>
      </c>
      <c r="C360" s="28">
        <f t="shared" ref="C360:V360" si="75">SUM(C361:C363)</f>
        <v>195802</v>
      </c>
      <c r="D360" s="28">
        <f t="shared" si="75"/>
        <v>204626</v>
      </c>
      <c r="E360" s="28">
        <f t="shared" si="75"/>
        <v>209554</v>
      </c>
      <c r="F360" s="28">
        <f t="shared" si="75"/>
        <v>225152</v>
      </c>
      <c r="G360" s="28">
        <f t="shared" si="75"/>
        <v>288531</v>
      </c>
      <c r="H360" s="28">
        <f t="shared" si="75"/>
        <v>299910</v>
      </c>
      <c r="I360" s="28">
        <f t="shared" si="75"/>
        <v>303668</v>
      </c>
      <c r="J360" s="28">
        <f t="shared" si="75"/>
        <v>313876</v>
      </c>
      <c r="K360" s="28">
        <f t="shared" si="75"/>
        <v>355687</v>
      </c>
      <c r="L360" s="28">
        <f t="shared" si="75"/>
        <v>452473</v>
      </c>
      <c r="M360" s="28">
        <f t="shared" si="75"/>
        <v>465273</v>
      </c>
      <c r="N360" s="28">
        <f t="shared" si="75"/>
        <v>516716</v>
      </c>
      <c r="O360" s="28">
        <f t="shared" si="75"/>
        <v>353938</v>
      </c>
      <c r="P360" s="28">
        <f t="shared" si="75"/>
        <v>343718</v>
      </c>
      <c r="Q360" s="28">
        <f t="shared" si="75"/>
        <v>349613</v>
      </c>
      <c r="R360" s="28">
        <f t="shared" si="75"/>
        <v>328968</v>
      </c>
      <c r="S360" s="28">
        <f t="shared" si="75"/>
        <v>313704</v>
      </c>
      <c r="T360" s="28">
        <f t="shared" si="75"/>
        <v>299065</v>
      </c>
      <c r="U360" s="28">
        <f t="shared" si="75"/>
        <v>310715</v>
      </c>
      <c r="V360" s="28">
        <f t="shared" si="75"/>
        <v>374718</v>
      </c>
    </row>
    <row r="361" spans="1:22" ht="38.25" x14ac:dyDescent="0.2">
      <c r="A361" s="28" t="s">
        <v>339</v>
      </c>
      <c r="B361" s="28" t="s">
        <v>357</v>
      </c>
      <c r="C361" s="28">
        <v>8712</v>
      </c>
      <c r="D361" s="28">
        <v>9202</v>
      </c>
      <c r="E361" s="28">
        <v>8946</v>
      </c>
      <c r="F361" s="28">
        <v>9211</v>
      </c>
      <c r="G361" s="28">
        <v>9990</v>
      </c>
      <c r="H361" s="28">
        <v>9473</v>
      </c>
      <c r="I361" s="28">
        <v>9902</v>
      </c>
      <c r="J361" s="28">
        <v>10091</v>
      </c>
      <c r="K361" s="28">
        <v>9223</v>
      </c>
      <c r="L361" s="28">
        <v>9602</v>
      </c>
      <c r="M361" s="28">
        <v>11215</v>
      </c>
      <c r="N361" s="28">
        <v>13632</v>
      </c>
      <c r="O361" s="28">
        <v>16144</v>
      </c>
      <c r="P361" s="28">
        <v>17158</v>
      </c>
      <c r="Q361" s="28">
        <v>19191</v>
      </c>
      <c r="R361" s="28">
        <v>19860</v>
      </c>
      <c r="S361" s="28">
        <v>19915</v>
      </c>
      <c r="T361" s="28">
        <v>21434</v>
      </c>
      <c r="U361" s="28">
        <v>24518</v>
      </c>
      <c r="V361" s="28">
        <v>25514</v>
      </c>
    </row>
    <row r="362" spans="1:22" ht="38.25" x14ac:dyDescent="0.2">
      <c r="A362" s="28" t="s">
        <v>339</v>
      </c>
      <c r="B362" s="28" t="s">
        <v>358</v>
      </c>
      <c r="C362" s="28">
        <v>66964</v>
      </c>
      <c r="D362" s="28">
        <v>72089</v>
      </c>
      <c r="E362" s="28">
        <v>77908</v>
      </c>
      <c r="F362" s="28">
        <v>83901</v>
      </c>
      <c r="G362" s="28">
        <v>108435</v>
      </c>
      <c r="H362" s="28">
        <v>117421</v>
      </c>
      <c r="I362" s="28">
        <v>121770</v>
      </c>
      <c r="J362" s="28">
        <v>130474</v>
      </c>
      <c r="K362" s="28">
        <v>149691</v>
      </c>
      <c r="L362" s="28">
        <v>190356</v>
      </c>
      <c r="M362" s="28">
        <v>189595</v>
      </c>
      <c r="N362" s="28">
        <v>217825</v>
      </c>
      <c r="O362" s="28">
        <v>146632</v>
      </c>
      <c r="P362" s="28">
        <v>137108</v>
      </c>
      <c r="Q362" s="28">
        <v>126956</v>
      </c>
      <c r="R362" s="28">
        <v>120442</v>
      </c>
      <c r="S362" s="28">
        <v>116465</v>
      </c>
      <c r="T362" s="28">
        <v>102333</v>
      </c>
      <c r="U362" s="28">
        <v>101390</v>
      </c>
      <c r="V362" s="28">
        <v>131614</v>
      </c>
    </row>
    <row r="363" spans="1:22" ht="38.25" x14ac:dyDescent="0.2">
      <c r="A363" s="28" t="s">
        <v>339</v>
      </c>
      <c r="B363" s="28" t="s">
        <v>359</v>
      </c>
      <c r="C363" s="28">
        <v>120126</v>
      </c>
      <c r="D363" s="28">
        <v>123335</v>
      </c>
      <c r="E363" s="28">
        <v>122700</v>
      </c>
      <c r="F363" s="28">
        <v>132040</v>
      </c>
      <c r="G363" s="28">
        <v>170106</v>
      </c>
      <c r="H363" s="28">
        <v>173016</v>
      </c>
      <c r="I363" s="28">
        <v>171996</v>
      </c>
      <c r="J363" s="28">
        <v>173311</v>
      </c>
      <c r="K363" s="28">
        <v>196773</v>
      </c>
      <c r="L363" s="28">
        <v>252515</v>
      </c>
      <c r="M363" s="28">
        <v>264463</v>
      </c>
      <c r="N363" s="28">
        <v>285259</v>
      </c>
      <c r="O363" s="28">
        <v>191162</v>
      </c>
      <c r="P363" s="28">
        <v>189452</v>
      </c>
      <c r="Q363" s="28">
        <v>203466</v>
      </c>
      <c r="R363" s="28">
        <v>188666</v>
      </c>
      <c r="S363" s="28">
        <v>177324</v>
      </c>
      <c r="T363" s="28">
        <v>175298</v>
      </c>
      <c r="U363" s="28">
        <v>184807</v>
      </c>
      <c r="V363" s="28">
        <v>217590</v>
      </c>
    </row>
    <row r="364" spans="1:22" ht="51" x14ac:dyDescent="0.2">
      <c r="A364" s="28" t="s">
        <v>339</v>
      </c>
      <c r="B364" s="28" t="s">
        <v>360</v>
      </c>
      <c r="C364" s="28">
        <f t="shared" ref="C364:V364" si="76">SUM(C365:C366)</f>
        <v>21729</v>
      </c>
      <c r="D364" s="28">
        <f t="shared" si="76"/>
        <v>23022</v>
      </c>
      <c r="E364" s="28">
        <f t="shared" si="76"/>
        <v>25657</v>
      </c>
      <c r="F364" s="28">
        <f t="shared" si="76"/>
        <v>25743</v>
      </c>
      <c r="G364" s="28">
        <f t="shared" si="76"/>
        <v>27773</v>
      </c>
      <c r="H364" s="28">
        <f t="shared" si="76"/>
        <v>23342</v>
      </c>
      <c r="I364" s="28">
        <f t="shared" si="76"/>
        <v>22823</v>
      </c>
      <c r="J364" s="28">
        <f t="shared" si="76"/>
        <v>21161</v>
      </c>
      <c r="K364" s="28">
        <f t="shared" si="76"/>
        <v>23897</v>
      </c>
      <c r="L364" s="28">
        <f t="shared" si="76"/>
        <v>29187</v>
      </c>
      <c r="M364" s="28">
        <f t="shared" si="76"/>
        <v>32886</v>
      </c>
      <c r="N364" s="28">
        <f t="shared" si="76"/>
        <v>33131</v>
      </c>
      <c r="O364" s="28">
        <f t="shared" si="76"/>
        <v>23709</v>
      </c>
      <c r="P364" s="28">
        <f t="shared" si="76"/>
        <v>22490</v>
      </c>
      <c r="Q364" s="28">
        <f t="shared" si="76"/>
        <v>20645</v>
      </c>
      <c r="R364" s="28">
        <f t="shared" si="76"/>
        <v>20816</v>
      </c>
      <c r="S364" s="28">
        <f t="shared" si="76"/>
        <v>20186</v>
      </c>
      <c r="T364" s="28">
        <f t="shared" si="76"/>
        <v>19115</v>
      </c>
      <c r="U364" s="28">
        <f t="shared" si="76"/>
        <v>18759</v>
      </c>
      <c r="V364" s="28">
        <f t="shared" si="76"/>
        <v>19422</v>
      </c>
    </row>
    <row r="365" spans="1:22" ht="51" x14ac:dyDescent="0.2">
      <c r="A365" s="28" t="s">
        <v>339</v>
      </c>
      <c r="B365" s="28" t="s">
        <v>361</v>
      </c>
      <c r="C365" s="28">
        <v>11306</v>
      </c>
      <c r="D365" s="28">
        <v>11276</v>
      </c>
      <c r="E365" s="28">
        <v>12649</v>
      </c>
      <c r="F365" s="28">
        <v>13465</v>
      </c>
      <c r="G365" s="28">
        <v>14708</v>
      </c>
      <c r="H365" s="28">
        <v>12703</v>
      </c>
      <c r="I365" s="28">
        <v>12421</v>
      </c>
      <c r="J365" s="28">
        <v>11236</v>
      </c>
      <c r="K365" s="28">
        <v>11864</v>
      </c>
      <c r="L365" s="28">
        <v>14394</v>
      </c>
      <c r="M365" s="28">
        <v>15887</v>
      </c>
      <c r="N365" s="28">
        <v>15192</v>
      </c>
      <c r="O365" s="28">
        <v>11570</v>
      </c>
      <c r="P365" s="28">
        <v>11160</v>
      </c>
      <c r="Q365" s="28">
        <v>10408</v>
      </c>
      <c r="R365" s="28">
        <v>11130</v>
      </c>
      <c r="S365" s="28">
        <v>10742</v>
      </c>
      <c r="T365" s="28">
        <v>10040</v>
      </c>
      <c r="U365" s="28">
        <v>9679</v>
      </c>
      <c r="V365" s="28">
        <v>9535</v>
      </c>
    </row>
    <row r="366" spans="1:22" ht="51" x14ac:dyDescent="0.2">
      <c r="A366" s="28" t="s">
        <v>339</v>
      </c>
      <c r="B366" s="28" t="s">
        <v>362</v>
      </c>
      <c r="C366" s="28">
        <v>10423</v>
      </c>
      <c r="D366" s="28">
        <v>11746</v>
      </c>
      <c r="E366" s="28">
        <v>13008</v>
      </c>
      <c r="F366" s="28">
        <v>12278</v>
      </c>
      <c r="G366" s="28">
        <v>13065</v>
      </c>
      <c r="H366" s="28">
        <v>10639</v>
      </c>
      <c r="I366" s="28">
        <v>10402</v>
      </c>
      <c r="J366" s="28">
        <v>9925</v>
      </c>
      <c r="K366" s="28">
        <v>12033</v>
      </c>
      <c r="L366" s="28">
        <v>14793</v>
      </c>
      <c r="M366" s="28">
        <v>16999</v>
      </c>
      <c r="N366" s="28">
        <v>17939</v>
      </c>
      <c r="O366" s="28">
        <v>12139</v>
      </c>
      <c r="P366" s="28">
        <v>11330</v>
      </c>
      <c r="Q366" s="28">
        <v>10237</v>
      </c>
      <c r="R366" s="28">
        <v>9686</v>
      </c>
      <c r="S366" s="28">
        <v>9444</v>
      </c>
      <c r="T366" s="28">
        <v>9075</v>
      </c>
      <c r="U366" s="28">
        <v>9080</v>
      </c>
      <c r="V366" s="28">
        <v>9887</v>
      </c>
    </row>
    <row r="367" spans="1:22" ht="63.75" x14ac:dyDescent="0.2">
      <c r="A367" s="28" t="s">
        <v>339</v>
      </c>
      <c r="B367" s="28" t="s">
        <v>363</v>
      </c>
      <c r="C367" s="28">
        <f t="shared" ref="C367:V367" si="77">C368</f>
        <v>10809</v>
      </c>
      <c r="D367" s="28">
        <f t="shared" si="77"/>
        <v>12263</v>
      </c>
      <c r="E367" s="28">
        <f t="shared" si="77"/>
        <v>11361</v>
      </c>
      <c r="F367" s="28">
        <f t="shared" si="77"/>
        <v>14430</v>
      </c>
      <c r="G367" s="28">
        <f t="shared" si="77"/>
        <v>13709</v>
      </c>
      <c r="H367" s="28">
        <f t="shared" si="77"/>
        <v>16282</v>
      </c>
      <c r="I367" s="28">
        <f t="shared" si="77"/>
        <v>17115</v>
      </c>
      <c r="J367" s="28">
        <f t="shared" si="77"/>
        <v>17110</v>
      </c>
      <c r="K367" s="28">
        <f t="shared" si="77"/>
        <v>17104</v>
      </c>
      <c r="L367" s="28">
        <f t="shared" si="77"/>
        <v>18405</v>
      </c>
      <c r="M367" s="28">
        <f t="shared" si="77"/>
        <v>19320</v>
      </c>
      <c r="N367" s="28">
        <f t="shared" si="77"/>
        <v>16314</v>
      </c>
      <c r="O367" s="28">
        <f t="shared" si="77"/>
        <v>16820</v>
      </c>
      <c r="P367" s="28">
        <f t="shared" si="77"/>
        <v>16053</v>
      </c>
      <c r="Q367" s="28">
        <f t="shared" si="77"/>
        <v>19438</v>
      </c>
      <c r="R367" s="28">
        <f t="shared" si="77"/>
        <v>18541</v>
      </c>
      <c r="S367" s="28">
        <f t="shared" si="77"/>
        <v>17790</v>
      </c>
      <c r="T367" s="28">
        <f t="shared" si="77"/>
        <v>19681</v>
      </c>
      <c r="U367" s="28">
        <f t="shared" si="77"/>
        <v>19968</v>
      </c>
      <c r="V367" s="28">
        <f t="shared" si="77"/>
        <v>23427</v>
      </c>
    </row>
    <row r="368" spans="1:22" ht="51" x14ac:dyDescent="0.2">
      <c r="A368" s="28" t="s">
        <v>339</v>
      </c>
      <c r="B368" s="28" t="s">
        <v>364</v>
      </c>
      <c r="C368" s="28">
        <v>10809</v>
      </c>
      <c r="D368" s="28">
        <v>12263</v>
      </c>
      <c r="E368" s="28">
        <v>11361</v>
      </c>
      <c r="F368" s="28">
        <v>14430</v>
      </c>
      <c r="G368" s="28">
        <v>13709</v>
      </c>
      <c r="H368" s="28">
        <v>16282</v>
      </c>
      <c r="I368" s="28">
        <v>17115</v>
      </c>
      <c r="J368" s="28">
        <v>17110</v>
      </c>
      <c r="K368" s="28">
        <v>17104</v>
      </c>
      <c r="L368" s="28">
        <v>18405</v>
      </c>
      <c r="M368" s="28">
        <v>19320</v>
      </c>
      <c r="N368" s="28">
        <v>16314</v>
      </c>
      <c r="O368" s="28">
        <v>16820</v>
      </c>
      <c r="P368" s="28">
        <v>16053</v>
      </c>
      <c r="Q368" s="28">
        <v>19438</v>
      </c>
      <c r="R368" s="28">
        <v>18541</v>
      </c>
      <c r="S368" s="28">
        <v>17790</v>
      </c>
      <c r="T368" s="28">
        <v>19681</v>
      </c>
      <c r="U368" s="28">
        <v>19968</v>
      </c>
      <c r="V368" s="28">
        <v>23427</v>
      </c>
    </row>
    <row r="369" spans="1:22" ht="38.25" x14ac:dyDescent="0.2">
      <c r="A369" s="28" t="s">
        <v>339</v>
      </c>
      <c r="B369" s="28" t="s">
        <v>365</v>
      </c>
      <c r="C369" s="28">
        <f t="shared" ref="C369:V369" si="78">SUM(C370:C380)</f>
        <v>15842</v>
      </c>
      <c r="D369" s="28">
        <f t="shared" si="78"/>
        <v>16088</v>
      </c>
      <c r="E369" s="28">
        <f t="shared" si="78"/>
        <v>17662</v>
      </c>
      <c r="F369" s="28">
        <f t="shared" si="78"/>
        <v>17896</v>
      </c>
      <c r="G369" s="28">
        <f t="shared" si="78"/>
        <v>18327</v>
      </c>
      <c r="H369" s="28">
        <f t="shared" si="78"/>
        <v>15762</v>
      </c>
      <c r="I369" s="28">
        <f t="shared" si="78"/>
        <v>17137</v>
      </c>
      <c r="J369" s="28">
        <f t="shared" si="78"/>
        <v>15572</v>
      </c>
      <c r="K369" s="28">
        <f t="shared" si="78"/>
        <v>15616</v>
      </c>
      <c r="L369" s="28">
        <f t="shared" si="78"/>
        <v>16688</v>
      </c>
      <c r="M369" s="28">
        <f t="shared" si="78"/>
        <v>14310</v>
      </c>
      <c r="N369" s="28">
        <f t="shared" si="78"/>
        <v>11739</v>
      </c>
      <c r="O369" s="28">
        <f t="shared" si="78"/>
        <v>15928</v>
      </c>
      <c r="P369" s="28">
        <f t="shared" si="78"/>
        <v>16825</v>
      </c>
      <c r="Q369" s="28">
        <f t="shared" si="78"/>
        <v>16934</v>
      </c>
      <c r="R369" s="28">
        <f t="shared" si="78"/>
        <v>16532</v>
      </c>
      <c r="S369" s="28">
        <f t="shared" si="78"/>
        <v>17660</v>
      </c>
      <c r="T369" s="28">
        <f t="shared" si="78"/>
        <v>20110</v>
      </c>
      <c r="U369" s="28">
        <f t="shared" si="78"/>
        <v>20137</v>
      </c>
      <c r="V369" s="28">
        <f t="shared" si="78"/>
        <v>21183</v>
      </c>
    </row>
    <row r="370" spans="1:22" ht="38.25" x14ac:dyDescent="0.2">
      <c r="A370" s="28" t="s">
        <v>339</v>
      </c>
      <c r="B370" s="28" t="s">
        <v>366</v>
      </c>
      <c r="C370" s="28">
        <v>0</v>
      </c>
      <c r="D370" s="28">
        <v>0</v>
      </c>
      <c r="E370" s="28">
        <v>0</v>
      </c>
      <c r="F370" s="28">
        <v>0</v>
      </c>
      <c r="G370" s="28">
        <v>0</v>
      </c>
      <c r="H370" s="28">
        <v>0</v>
      </c>
      <c r="I370" s="28">
        <v>0</v>
      </c>
      <c r="J370" s="28">
        <v>0</v>
      </c>
      <c r="K370" s="28">
        <v>0</v>
      </c>
      <c r="L370" s="28">
        <v>0</v>
      </c>
      <c r="M370" s="28">
        <v>0</v>
      </c>
      <c r="N370" s="28">
        <v>0</v>
      </c>
      <c r="O370" s="28">
        <v>2676</v>
      </c>
      <c r="P370" s="28">
        <v>3995</v>
      </c>
      <c r="Q370" s="28">
        <v>3682</v>
      </c>
      <c r="R370" s="28">
        <v>3084</v>
      </c>
      <c r="S370" s="28">
        <v>3440</v>
      </c>
      <c r="T370" s="28">
        <v>3118</v>
      </c>
      <c r="U370" s="28">
        <v>3716</v>
      </c>
      <c r="V370" s="28">
        <v>4242</v>
      </c>
    </row>
    <row r="371" spans="1:22" ht="38.25" x14ac:dyDescent="0.2">
      <c r="A371" s="28" t="s">
        <v>339</v>
      </c>
      <c r="B371" s="28" t="s">
        <v>367</v>
      </c>
      <c r="C371" s="28">
        <v>0</v>
      </c>
      <c r="D371" s="28">
        <v>0</v>
      </c>
      <c r="E371" s="28">
        <v>0</v>
      </c>
      <c r="F371" s="28">
        <v>0</v>
      </c>
      <c r="G371" s="28">
        <v>0</v>
      </c>
      <c r="H371" s="28">
        <v>0</v>
      </c>
      <c r="I371" s="28">
        <v>0</v>
      </c>
      <c r="J371" s="28">
        <v>0</v>
      </c>
      <c r="K371" s="28">
        <v>0</v>
      </c>
      <c r="L371" s="28">
        <v>0</v>
      </c>
      <c r="M371" s="28">
        <v>0</v>
      </c>
      <c r="N371" s="28">
        <v>0</v>
      </c>
      <c r="O371" s="28">
        <v>423</v>
      </c>
      <c r="P371" s="28">
        <v>422</v>
      </c>
      <c r="Q371" s="28">
        <v>578</v>
      </c>
      <c r="R371" s="28">
        <v>469</v>
      </c>
      <c r="S371" s="28">
        <v>487</v>
      </c>
      <c r="T371" s="28">
        <v>415</v>
      </c>
      <c r="U371" s="28">
        <v>343</v>
      </c>
      <c r="V371" s="28">
        <v>372</v>
      </c>
    </row>
    <row r="372" spans="1:22" ht="38.25" x14ac:dyDescent="0.2">
      <c r="A372" s="28" t="s">
        <v>339</v>
      </c>
      <c r="B372" s="28" t="s">
        <v>368</v>
      </c>
      <c r="C372" s="28">
        <v>4532</v>
      </c>
      <c r="D372" s="28">
        <v>4295</v>
      </c>
      <c r="E372" s="28">
        <v>3836</v>
      </c>
      <c r="F372" s="28">
        <v>4178</v>
      </c>
      <c r="G372" s="28">
        <v>4659</v>
      </c>
      <c r="H372" s="28">
        <v>4458</v>
      </c>
      <c r="I372" s="28">
        <v>4253</v>
      </c>
      <c r="J372" s="28">
        <v>4065</v>
      </c>
      <c r="K372" s="28">
        <v>3482</v>
      </c>
      <c r="L372" s="28">
        <v>3440</v>
      </c>
      <c r="M372" s="28">
        <v>3359</v>
      </c>
      <c r="N372" s="28">
        <v>3018</v>
      </c>
      <c r="O372" s="28">
        <v>3780</v>
      </c>
      <c r="P372" s="28">
        <v>3806</v>
      </c>
      <c r="Q372" s="28">
        <v>4180</v>
      </c>
      <c r="R372" s="28">
        <v>3946</v>
      </c>
      <c r="S372" s="28">
        <v>4928</v>
      </c>
      <c r="T372" s="28">
        <v>4740</v>
      </c>
      <c r="U372" s="28">
        <v>5321</v>
      </c>
      <c r="V372" s="28">
        <v>6210</v>
      </c>
    </row>
    <row r="373" spans="1:22" ht="38.25" x14ac:dyDescent="0.2">
      <c r="A373" s="28" t="s">
        <v>339</v>
      </c>
      <c r="B373" s="28" t="s">
        <v>369</v>
      </c>
      <c r="C373" s="28">
        <v>5438</v>
      </c>
      <c r="D373" s="28">
        <v>6022</v>
      </c>
      <c r="E373" s="28">
        <v>7378</v>
      </c>
      <c r="F373" s="28">
        <v>7417</v>
      </c>
      <c r="G373" s="28">
        <v>6056</v>
      </c>
      <c r="H373" s="28">
        <v>5088</v>
      </c>
      <c r="I373" s="28">
        <v>6694</v>
      </c>
      <c r="J373" s="28">
        <v>5754</v>
      </c>
      <c r="K373" s="28">
        <v>5327</v>
      </c>
      <c r="L373" s="28">
        <v>5269</v>
      </c>
      <c r="M373" s="28">
        <v>5513</v>
      </c>
      <c r="N373" s="28">
        <v>3918</v>
      </c>
      <c r="O373" s="28">
        <v>4316</v>
      </c>
      <c r="P373" s="28">
        <v>4369</v>
      </c>
      <c r="Q373" s="28">
        <v>4200</v>
      </c>
      <c r="R373" s="28">
        <v>4164</v>
      </c>
      <c r="S373" s="28">
        <v>4528</v>
      </c>
      <c r="T373" s="28">
        <v>7640</v>
      </c>
      <c r="U373" s="28">
        <v>6651</v>
      </c>
      <c r="V373" s="28">
        <v>5938</v>
      </c>
    </row>
    <row r="374" spans="1:22" ht="38.25" x14ac:dyDescent="0.2">
      <c r="A374" s="28" t="s">
        <v>339</v>
      </c>
      <c r="B374" s="28" t="s">
        <v>370</v>
      </c>
      <c r="C374" s="28">
        <v>2079</v>
      </c>
      <c r="D374" s="28">
        <v>1564</v>
      </c>
      <c r="E374" s="28">
        <v>1601</v>
      </c>
      <c r="F374" s="28">
        <v>1463</v>
      </c>
      <c r="G374" s="28">
        <v>1470</v>
      </c>
      <c r="H374" s="28">
        <v>1352</v>
      </c>
      <c r="I374" s="28">
        <v>1297</v>
      </c>
      <c r="J374" s="28">
        <v>1172</v>
      </c>
      <c r="K374" s="28">
        <v>1159</v>
      </c>
      <c r="L374" s="28">
        <v>1146</v>
      </c>
      <c r="M374" s="28">
        <v>1100</v>
      </c>
      <c r="N374" s="28">
        <v>700</v>
      </c>
      <c r="O374" s="28">
        <v>453</v>
      </c>
      <c r="P374" s="28">
        <v>448</v>
      </c>
      <c r="Q374" s="28">
        <v>134</v>
      </c>
      <c r="R374" s="28">
        <v>136</v>
      </c>
      <c r="S374" s="28">
        <v>62</v>
      </c>
      <c r="T374" s="28">
        <v>44</v>
      </c>
      <c r="U374" s="28">
        <v>28</v>
      </c>
      <c r="V374" s="28">
        <v>17</v>
      </c>
    </row>
    <row r="375" spans="1:22" ht="51" x14ac:dyDescent="0.2">
      <c r="A375" s="28" t="s">
        <v>339</v>
      </c>
      <c r="B375" s="28" t="s">
        <v>371</v>
      </c>
      <c r="C375" s="28">
        <v>0</v>
      </c>
      <c r="D375" s="28">
        <v>0</v>
      </c>
      <c r="E375" s="28">
        <v>0</v>
      </c>
      <c r="F375" s="28">
        <v>0</v>
      </c>
      <c r="G375" s="28">
        <v>0</v>
      </c>
      <c r="H375" s="28">
        <v>0</v>
      </c>
      <c r="I375" s="28">
        <v>0</v>
      </c>
      <c r="J375" s="28">
        <v>0</v>
      </c>
      <c r="K375" s="28">
        <v>0</v>
      </c>
      <c r="L375" s="28">
        <v>0</v>
      </c>
      <c r="M375" s="28">
        <v>781</v>
      </c>
      <c r="N375" s="28">
        <v>588</v>
      </c>
      <c r="O375" s="28">
        <v>860</v>
      </c>
      <c r="P375" s="28">
        <v>745</v>
      </c>
      <c r="Q375" s="28">
        <v>946</v>
      </c>
      <c r="R375" s="28">
        <v>1208</v>
      </c>
      <c r="S375" s="28">
        <v>992</v>
      </c>
      <c r="T375" s="28">
        <v>1085</v>
      </c>
      <c r="U375" s="28">
        <v>926</v>
      </c>
      <c r="V375" s="28">
        <v>1445</v>
      </c>
    </row>
    <row r="376" spans="1:22" ht="38.25" x14ac:dyDescent="0.2">
      <c r="A376" s="28" t="s">
        <v>339</v>
      </c>
      <c r="B376" s="28" t="s">
        <v>372</v>
      </c>
      <c r="C376" s="28">
        <v>725</v>
      </c>
      <c r="D376" s="28">
        <v>898</v>
      </c>
      <c r="E376" s="28">
        <v>913</v>
      </c>
      <c r="F376" s="28">
        <v>797</v>
      </c>
      <c r="G376" s="28">
        <v>969</v>
      </c>
      <c r="H376" s="28">
        <v>1003</v>
      </c>
      <c r="I376" s="28">
        <v>1195</v>
      </c>
      <c r="J376" s="28">
        <v>1012</v>
      </c>
      <c r="K376" s="28">
        <v>839</v>
      </c>
      <c r="L376" s="28">
        <v>948</v>
      </c>
      <c r="M376" s="28">
        <v>1171</v>
      </c>
      <c r="N376" s="28">
        <v>1405</v>
      </c>
      <c r="O376" s="28">
        <v>1531</v>
      </c>
      <c r="P376" s="28">
        <v>1171</v>
      </c>
      <c r="Q376" s="28">
        <v>1166</v>
      </c>
      <c r="R376" s="28">
        <v>1252</v>
      </c>
      <c r="S376" s="28">
        <v>1160</v>
      </c>
      <c r="T376" s="28">
        <v>1065</v>
      </c>
      <c r="U376" s="28">
        <v>1094</v>
      </c>
      <c r="V376" s="28">
        <v>1017</v>
      </c>
    </row>
    <row r="377" spans="1:22" ht="38.25" x14ac:dyDescent="0.2">
      <c r="A377" s="28" t="s">
        <v>339</v>
      </c>
      <c r="B377" s="28" t="s">
        <v>373</v>
      </c>
      <c r="C377" s="28">
        <v>1436</v>
      </c>
      <c r="D377" s="28">
        <v>1802</v>
      </c>
      <c r="E377" s="28">
        <v>1661</v>
      </c>
      <c r="F377" s="28">
        <v>1786</v>
      </c>
      <c r="G377" s="28">
        <v>2153</v>
      </c>
      <c r="H377" s="28">
        <v>1768</v>
      </c>
      <c r="I377" s="28">
        <v>1933</v>
      </c>
      <c r="J377" s="28">
        <v>1639</v>
      </c>
      <c r="K377" s="28">
        <v>2122</v>
      </c>
      <c r="L377" s="28">
        <v>1801</v>
      </c>
      <c r="M377" s="28">
        <v>1669</v>
      </c>
      <c r="N377" s="28">
        <v>1595</v>
      </c>
      <c r="O377" s="28">
        <v>1617</v>
      </c>
      <c r="P377" s="28">
        <v>1630</v>
      </c>
      <c r="Q377" s="28">
        <v>1805</v>
      </c>
      <c r="R377" s="28">
        <v>1982</v>
      </c>
      <c r="S377" s="28">
        <v>1907</v>
      </c>
      <c r="T377" s="28">
        <v>1706</v>
      </c>
      <c r="U377" s="28">
        <v>1827</v>
      </c>
      <c r="V377" s="28">
        <v>1762</v>
      </c>
    </row>
    <row r="378" spans="1:22" ht="25.5" x14ac:dyDescent="0.2">
      <c r="A378" s="28" t="s">
        <v>339</v>
      </c>
      <c r="B378" s="28" t="s">
        <v>374</v>
      </c>
      <c r="C378" s="28">
        <v>181</v>
      </c>
      <c r="D378" s="28">
        <v>221</v>
      </c>
      <c r="E378" s="28">
        <v>221</v>
      </c>
      <c r="F378" s="28">
        <v>180</v>
      </c>
      <c r="G378" s="28">
        <v>203</v>
      </c>
      <c r="H378" s="28">
        <v>181</v>
      </c>
      <c r="I378" s="28">
        <v>174</v>
      </c>
      <c r="J378" s="28">
        <v>222</v>
      </c>
      <c r="K378" s="28">
        <v>199</v>
      </c>
      <c r="L378" s="28">
        <v>239</v>
      </c>
      <c r="M378" s="28">
        <v>306</v>
      </c>
      <c r="N378" s="28">
        <v>274</v>
      </c>
      <c r="O378" s="28">
        <v>0</v>
      </c>
      <c r="P378" s="28">
        <v>0</v>
      </c>
      <c r="Q378" s="28">
        <v>0</v>
      </c>
      <c r="R378" s="28">
        <v>0</v>
      </c>
      <c r="S378" s="28">
        <v>0</v>
      </c>
      <c r="T378" s="28">
        <v>0</v>
      </c>
      <c r="U378" s="28">
        <v>0</v>
      </c>
      <c r="V378" s="28">
        <v>0</v>
      </c>
    </row>
    <row r="379" spans="1:22" ht="51" x14ac:dyDescent="0.2">
      <c r="A379" s="28" t="s">
        <v>339</v>
      </c>
      <c r="B379" s="28" t="s">
        <v>375</v>
      </c>
      <c r="C379" s="28">
        <v>108</v>
      </c>
      <c r="D379" s="28">
        <v>165</v>
      </c>
      <c r="E379" s="28">
        <v>169</v>
      </c>
      <c r="F379" s="28">
        <v>214</v>
      </c>
      <c r="G379" s="28">
        <v>292</v>
      </c>
      <c r="H379" s="28">
        <v>231</v>
      </c>
      <c r="I379" s="28">
        <v>262</v>
      </c>
      <c r="J379" s="28">
        <v>262</v>
      </c>
      <c r="K379" s="28">
        <v>233</v>
      </c>
      <c r="L379" s="28">
        <v>208</v>
      </c>
      <c r="M379" s="28">
        <v>411</v>
      </c>
      <c r="N379" s="28">
        <v>241</v>
      </c>
      <c r="O379" s="28">
        <v>272</v>
      </c>
      <c r="P379" s="28">
        <v>239</v>
      </c>
      <c r="Q379" s="28">
        <v>243</v>
      </c>
      <c r="R379" s="28">
        <v>291</v>
      </c>
      <c r="S379" s="28">
        <v>156</v>
      </c>
      <c r="T379" s="28">
        <v>297</v>
      </c>
      <c r="U379" s="28">
        <v>231</v>
      </c>
      <c r="V379" s="28">
        <v>180</v>
      </c>
    </row>
    <row r="380" spans="1:22" ht="51" x14ac:dyDescent="0.2">
      <c r="A380" s="28" t="s">
        <v>339</v>
      </c>
      <c r="B380" s="28" t="s">
        <v>376</v>
      </c>
      <c r="C380" s="28">
        <v>1343</v>
      </c>
      <c r="D380" s="28">
        <v>1121</v>
      </c>
      <c r="E380" s="28">
        <v>1883</v>
      </c>
      <c r="F380" s="28">
        <v>1861</v>
      </c>
      <c r="G380" s="28">
        <v>2525</v>
      </c>
      <c r="H380" s="28">
        <v>1681</v>
      </c>
      <c r="I380" s="28">
        <v>1329</v>
      </c>
      <c r="J380" s="28">
        <v>1446</v>
      </c>
      <c r="K380" s="28">
        <v>2255</v>
      </c>
      <c r="L380" s="28">
        <f>2831+806</f>
        <v>3637</v>
      </c>
      <c r="M380" s="28">
        <v>0</v>
      </c>
      <c r="N380" s="28">
        <v>0</v>
      </c>
      <c r="O380" s="28">
        <v>0</v>
      </c>
      <c r="P380" s="28">
        <v>0</v>
      </c>
      <c r="Q380" s="28">
        <v>0</v>
      </c>
      <c r="R380" s="28">
        <v>0</v>
      </c>
      <c r="S380" s="28">
        <v>0</v>
      </c>
      <c r="T380" s="28">
        <v>0</v>
      </c>
      <c r="U380" s="28">
        <v>0</v>
      </c>
      <c r="V380" s="28">
        <v>0</v>
      </c>
    </row>
    <row r="381" spans="1:22" ht="38.25" x14ac:dyDescent="0.2">
      <c r="A381" s="28" t="s">
        <v>339</v>
      </c>
      <c r="B381" s="28" t="s">
        <v>377</v>
      </c>
      <c r="C381" s="28">
        <f t="shared" ref="C381:V381" si="79">SUM(C382:C388)</f>
        <v>3854</v>
      </c>
      <c r="D381" s="28">
        <f t="shared" si="79"/>
        <v>3805</v>
      </c>
      <c r="E381" s="28">
        <f t="shared" si="79"/>
        <v>3521</v>
      </c>
      <c r="F381" s="28">
        <f t="shared" si="79"/>
        <v>3755</v>
      </c>
      <c r="G381" s="28">
        <f t="shared" si="79"/>
        <v>4750</v>
      </c>
      <c r="H381" s="28">
        <f t="shared" si="79"/>
        <v>4623</v>
      </c>
      <c r="I381" s="28">
        <f t="shared" si="79"/>
        <v>4521</v>
      </c>
      <c r="J381" s="28">
        <f t="shared" si="79"/>
        <v>5191</v>
      </c>
      <c r="K381" s="28">
        <f t="shared" si="79"/>
        <v>5725</v>
      </c>
      <c r="L381" s="28">
        <f t="shared" si="79"/>
        <v>6517</v>
      </c>
      <c r="M381" s="28">
        <f t="shared" si="79"/>
        <v>6895</v>
      </c>
      <c r="N381" s="28">
        <f t="shared" si="79"/>
        <v>6395</v>
      </c>
      <c r="O381" s="28">
        <f t="shared" si="79"/>
        <v>5342</v>
      </c>
      <c r="P381" s="28">
        <f t="shared" si="79"/>
        <v>4518</v>
      </c>
      <c r="Q381" s="28">
        <f t="shared" si="79"/>
        <v>4223</v>
      </c>
      <c r="R381" s="28">
        <f t="shared" si="79"/>
        <v>3967</v>
      </c>
      <c r="S381" s="28">
        <f t="shared" si="79"/>
        <v>3961</v>
      </c>
      <c r="T381" s="28">
        <f t="shared" si="79"/>
        <v>4540</v>
      </c>
      <c r="U381" s="28">
        <f t="shared" si="79"/>
        <v>4093</v>
      </c>
      <c r="V381" s="28">
        <f t="shared" si="79"/>
        <v>8263</v>
      </c>
    </row>
    <row r="382" spans="1:22" ht="38.25" x14ac:dyDescent="0.2">
      <c r="A382" s="28" t="s">
        <v>339</v>
      </c>
      <c r="B382" s="28" t="s">
        <v>378</v>
      </c>
      <c r="C382" s="28">
        <v>794</v>
      </c>
      <c r="D382" s="28">
        <v>1038</v>
      </c>
      <c r="E382" s="28">
        <v>787</v>
      </c>
      <c r="F382" s="28">
        <v>656</v>
      </c>
      <c r="G382" s="28">
        <v>829</v>
      </c>
      <c r="H382" s="28">
        <v>745</v>
      </c>
      <c r="I382" s="28">
        <v>761</v>
      </c>
      <c r="J382" s="28">
        <v>702</v>
      </c>
      <c r="K382" s="28">
        <v>660</v>
      </c>
      <c r="L382" s="28">
        <v>928</v>
      </c>
      <c r="M382" s="28">
        <v>1228</v>
      </c>
      <c r="N382" s="28">
        <v>1267</v>
      </c>
      <c r="O382" s="28">
        <v>1356</v>
      </c>
      <c r="P382" s="28">
        <v>1347</v>
      </c>
      <c r="Q382" s="28">
        <v>1319</v>
      </c>
      <c r="R382" s="28">
        <v>1157</v>
      </c>
      <c r="S382" s="28">
        <v>1320</v>
      </c>
      <c r="T382" s="28">
        <v>1399</v>
      </c>
      <c r="U382" s="28">
        <v>1177</v>
      </c>
      <c r="V382" s="28">
        <v>4520</v>
      </c>
    </row>
    <row r="383" spans="1:22" ht="51" x14ac:dyDescent="0.2">
      <c r="A383" s="28" t="s">
        <v>339</v>
      </c>
      <c r="B383" s="28" t="s">
        <v>379</v>
      </c>
      <c r="C383" s="28">
        <v>0</v>
      </c>
      <c r="D383" s="28">
        <v>0</v>
      </c>
      <c r="E383" s="28">
        <v>0</v>
      </c>
      <c r="F383" s="28">
        <v>0</v>
      </c>
      <c r="G383" s="28">
        <v>0</v>
      </c>
      <c r="H383" s="28">
        <v>0</v>
      </c>
      <c r="I383" s="28">
        <v>0</v>
      </c>
      <c r="J383" s="28">
        <v>0</v>
      </c>
      <c r="K383" s="28">
        <v>166</v>
      </c>
      <c r="L383" s="28">
        <v>273</v>
      </c>
      <c r="M383" s="28">
        <v>110</v>
      </c>
      <c r="N383" s="28">
        <v>22</v>
      </c>
      <c r="O383" s="28">
        <v>65</v>
      </c>
      <c r="P383" s="28">
        <v>109</v>
      </c>
      <c r="Q383" s="28">
        <v>110</v>
      </c>
      <c r="R383" s="28">
        <v>114</v>
      </c>
      <c r="S383" s="28">
        <v>144</v>
      </c>
      <c r="T383" s="28">
        <v>143</v>
      </c>
      <c r="U383" s="28">
        <v>174</v>
      </c>
      <c r="V383" s="28">
        <v>198</v>
      </c>
    </row>
    <row r="384" spans="1:22" ht="38.25" x14ac:dyDescent="0.2">
      <c r="A384" s="28" t="s">
        <v>339</v>
      </c>
      <c r="B384" s="28" t="s">
        <v>380</v>
      </c>
      <c r="C384" s="28">
        <v>911</v>
      </c>
      <c r="D384" s="28">
        <v>764</v>
      </c>
      <c r="E384" s="28">
        <v>651</v>
      </c>
      <c r="F384" s="28">
        <v>793</v>
      </c>
      <c r="G384" s="28">
        <v>1164</v>
      </c>
      <c r="H384" s="28">
        <v>1063</v>
      </c>
      <c r="I384" s="28">
        <v>1161</v>
      </c>
      <c r="J384" s="28">
        <v>971</v>
      </c>
      <c r="K384" s="28">
        <v>1046</v>
      </c>
      <c r="L384" s="28">
        <v>1278</v>
      </c>
      <c r="M384" s="28">
        <v>1587</v>
      </c>
      <c r="N384" s="28">
        <v>1055</v>
      </c>
      <c r="O384" s="28">
        <v>1175</v>
      </c>
      <c r="P384" s="28">
        <f>1364+15</f>
        <v>1379</v>
      </c>
      <c r="Q384" s="28">
        <v>1185</v>
      </c>
      <c r="R384" s="28">
        <v>1329</v>
      </c>
      <c r="S384" s="28">
        <v>1399</v>
      </c>
      <c r="T384" s="28">
        <v>1991</v>
      </c>
      <c r="U384" s="28">
        <v>1976</v>
      </c>
      <c r="V384" s="28">
        <v>2249</v>
      </c>
    </row>
    <row r="385" spans="1:22" ht="38.25" x14ac:dyDescent="0.2">
      <c r="A385" s="28" t="s">
        <v>339</v>
      </c>
      <c r="B385" s="28" t="s">
        <v>381</v>
      </c>
      <c r="C385" s="28">
        <v>1312</v>
      </c>
      <c r="D385" s="28">
        <v>1182</v>
      </c>
      <c r="E385" s="28">
        <v>1233</v>
      </c>
      <c r="F385" s="28">
        <v>1150</v>
      </c>
      <c r="G385" s="28">
        <v>1469</v>
      </c>
      <c r="H385" s="28">
        <v>1502</v>
      </c>
      <c r="I385" s="28">
        <v>1240</v>
      </c>
      <c r="J385" s="28">
        <v>1431</v>
      </c>
      <c r="K385" s="28">
        <v>1539</v>
      </c>
      <c r="L385" s="28">
        <v>1728</v>
      </c>
      <c r="M385" s="28">
        <v>1470</v>
      </c>
      <c r="N385" s="28">
        <v>1385</v>
      </c>
      <c r="O385" s="28">
        <v>1768</v>
      </c>
      <c r="P385" s="28">
        <v>1629</v>
      </c>
      <c r="Q385" s="28">
        <v>1584</v>
      </c>
      <c r="R385" s="28">
        <v>1339</v>
      </c>
      <c r="S385" s="28">
        <v>1066</v>
      </c>
      <c r="T385" s="28">
        <v>948</v>
      </c>
      <c r="U385" s="28">
        <v>741</v>
      </c>
      <c r="V385" s="28">
        <v>1252</v>
      </c>
    </row>
    <row r="386" spans="1:22" ht="51" x14ac:dyDescent="0.2">
      <c r="A386" s="28" t="s">
        <v>339</v>
      </c>
      <c r="B386" s="28" t="s">
        <v>382</v>
      </c>
      <c r="C386" s="28">
        <v>0</v>
      </c>
      <c r="D386" s="28">
        <v>0</v>
      </c>
      <c r="E386" s="28">
        <v>0</v>
      </c>
      <c r="F386" s="28">
        <v>0</v>
      </c>
      <c r="G386" s="28">
        <v>0</v>
      </c>
      <c r="H386" s="28">
        <v>0</v>
      </c>
      <c r="I386" s="28">
        <v>0</v>
      </c>
      <c r="J386" s="28">
        <v>0</v>
      </c>
      <c r="K386" s="28">
        <v>0</v>
      </c>
      <c r="L386" s="28">
        <v>0</v>
      </c>
      <c r="M386" s="28">
        <v>0</v>
      </c>
      <c r="N386" s="28">
        <v>0</v>
      </c>
      <c r="O386" s="28">
        <v>18</v>
      </c>
      <c r="P386" s="28">
        <v>20</v>
      </c>
      <c r="Q386" s="28">
        <v>25</v>
      </c>
      <c r="R386" s="28">
        <v>28</v>
      </c>
      <c r="S386" s="28">
        <v>32</v>
      </c>
      <c r="T386" s="28">
        <v>59</v>
      </c>
      <c r="U386" s="28">
        <v>25</v>
      </c>
      <c r="V386" s="28">
        <v>44</v>
      </c>
    </row>
    <row r="387" spans="1:22" ht="38.25" x14ac:dyDescent="0.2">
      <c r="A387" s="28" t="s">
        <v>339</v>
      </c>
      <c r="B387" s="28" t="s">
        <v>383</v>
      </c>
      <c r="C387" s="28">
        <v>780</v>
      </c>
      <c r="D387" s="28">
        <v>775</v>
      </c>
      <c r="E387" s="28">
        <v>768</v>
      </c>
      <c r="F387" s="28">
        <v>955</v>
      </c>
      <c r="G387" s="28">
        <v>1176</v>
      </c>
      <c r="H387" s="28">
        <v>1149</v>
      </c>
      <c r="I387" s="28">
        <v>1209</v>
      </c>
      <c r="J387" s="28">
        <v>1959</v>
      </c>
      <c r="K387" s="28">
        <v>2198</v>
      </c>
      <c r="L387" s="28">
        <v>2174</v>
      </c>
      <c r="M387" s="28">
        <v>2397</v>
      </c>
      <c r="N387" s="28">
        <v>2506</v>
      </c>
      <c r="O387" s="28">
        <v>915</v>
      </c>
      <c r="P387" s="28">
        <v>34</v>
      </c>
      <c r="Q387" s="28">
        <v>0</v>
      </c>
      <c r="R387" s="28">
        <v>0</v>
      </c>
      <c r="S387" s="28">
        <v>0</v>
      </c>
      <c r="T387" s="28">
        <v>0</v>
      </c>
      <c r="U387" s="28">
        <v>0</v>
      </c>
      <c r="V387" s="28">
        <v>0</v>
      </c>
    </row>
    <row r="388" spans="1:22" ht="38.25" x14ac:dyDescent="0.2">
      <c r="A388" s="28" t="s">
        <v>339</v>
      </c>
      <c r="B388" s="28" t="s">
        <v>384</v>
      </c>
      <c r="C388" s="28">
        <v>57</v>
      </c>
      <c r="D388" s="28">
        <v>46</v>
      </c>
      <c r="E388" s="28">
        <v>82</v>
      </c>
      <c r="F388" s="28">
        <v>201</v>
      </c>
      <c r="G388" s="28">
        <v>112</v>
      </c>
      <c r="H388" s="28">
        <v>164</v>
      </c>
      <c r="I388" s="28">
        <v>150</v>
      </c>
      <c r="J388" s="28">
        <v>128</v>
      </c>
      <c r="K388" s="28">
        <v>116</v>
      </c>
      <c r="L388" s="28">
        <v>136</v>
      </c>
      <c r="M388" s="28">
        <v>103</v>
      </c>
      <c r="N388" s="28">
        <v>160</v>
      </c>
      <c r="O388" s="28">
        <v>45</v>
      </c>
      <c r="P388" s="28">
        <v>0</v>
      </c>
      <c r="Q388" s="28">
        <v>0</v>
      </c>
      <c r="R388" s="28">
        <v>0</v>
      </c>
      <c r="S388" s="28">
        <v>0</v>
      </c>
      <c r="T388" s="28">
        <v>0</v>
      </c>
      <c r="U388" s="28">
        <v>0</v>
      </c>
      <c r="V388" s="28">
        <v>0</v>
      </c>
    </row>
    <row r="389" spans="1:22" ht="25.5" x14ac:dyDescent="0.2">
      <c r="A389" s="28" t="s">
        <v>339</v>
      </c>
      <c r="B389" s="28" t="s">
        <v>385</v>
      </c>
      <c r="C389" s="28">
        <f>1707+24025</f>
        <v>25732</v>
      </c>
      <c r="D389" s="28">
        <f>19636+23549</f>
        <v>43185</v>
      </c>
      <c r="E389" s="28">
        <f>18629+26674</f>
        <v>45303</v>
      </c>
      <c r="F389" s="28">
        <f>16138+29414</f>
        <v>45552</v>
      </c>
      <c r="G389" s="28">
        <f>18412+33708</f>
        <v>52120</v>
      </c>
      <c r="H389" s="28">
        <f>17032+35705</f>
        <v>52737</v>
      </c>
      <c r="I389" s="28">
        <f>14556+38430</f>
        <v>52986</v>
      </c>
      <c r="J389" s="28">
        <f>13192+40637</f>
        <v>53829</v>
      </c>
      <c r="K389" s="28">
        <f>10205+4777+39518</f>
        <v>54500</v>
      </c>
      <c r="L389" s="28">
        <f>11208+43962</f>
        <v>55170</v>
      </c>
      <c r="M389" s="28">
        <f>19579+36261</f>
        <v>55840</v>
      </c>
      <c r="N389" s="28">
        <v>56510</v>
      </c>
      <c r="O389" s="28">
        <v>57180</v>
      </c>
      <c r="P389" s="28">
        <f>13632+44222</f>
        <v>57854</v>
      </c>
      <c r="Q389" s="28">
        <f>15093+46501</f>
        <v>61594</v>
      </c>
      <c r="R389" s="28">
        <f>23056+64062</f>
        <v>87118</v>
      </c>
      <c r="S389" s="28">
        <f>24132+62383+6396</f>
        <v>92911</v>
      </c>
      <c r="T389" s="28">
        <f>24965+61870</f>
        <v>86835</v>
      </c>
      <c r="U389" s="28">
        <f>20305+71616</f>
        <v>91921</v>
      </c>
      <c r="V389" s="28">
        <v>65534</v>
      </c>
    </row>
    <row r="390" spans="1:22" ht="38.25" x14ac:dyDescent="0.2">
      <c r="A390" s="28" t="s">
        <v>339</v>
      </c>
      <c r="B390" s="28" t="s">
        <v>386</v>
      </c>
      <c r="C390" s="28">
        <v>35354</v>
      </c>
      <c r="D390" s="28">
        <v>35504</v>
      </c>
      <c r="E390" s="28">
        <v>37742</v>
      </c>
      <c r="F390" s="28">
        <v>35700</v>
      </c>
      <c r="G390" s="28">
        <v>38238</v>
      </c>
      <c r="H390" s="28">
        <v>38106</v>
      </c>
      <c r="I390" s="28">
        <v>37432</v>
      </c>
      <c r="J390" s="28">
        <v>37318</v>
      </c>
      <c r="K390" s="28">
        <v>41895</v>
      </c>
      <c r="L390" s="28">
        <v>50720</v>
      </c>
      <c r="M390" s="28">
        <v>53106</v>
      </c>
      <c r="N390" s="28">
        <v>48740</v>
      </c>
      <c r="O390" s="28">
        <v>46830</v>
      </c>
      <c r="P390" s="28">
        <v>45789</v>
      </c>
      <c r="Q390" s="28">
        <v>42544</v>
      </c>
      <c r="R390" s="28">
        <v>43146</v>
      </c>
      <c r="S390" s="28">
        <v>39617</v>
      </c>
      <c r="T390" s="28">
        <v>38328</v>
      </c>
      <c r="U390" s="28">
        <v>42007</v>
      </c>
      <c r="V390" s="28">
        <v>37127</v>
      </c>
    </row>
    <row r="391" spans="1:22" ht="38.25" x14ac:dyDescent="0.2">
      <c r="A391" s="28" t="s">
        <v>339</v>
      </c>
      <c r="B391" s="28" t="s">
        <v>387</v>
      </c>
      <c r="C391" s="28"/>
      <c r="D391" s="28"/>
      <c r="E391" s="28">
        <v>39752</v>
      </c>
      <c r="F391" s="28">
        <v>41670</v>
      </c>
      <c r="G391" s="28">
        <v>49437</v>
      </c>
      <c r="H391" s="28">
        <v>46850</v>
      </c>
      <c r="I391" s="28">
        <v>51616</v>
      </c>
      <c r="J391" s="28">
        <v>64845</v>
      </c>
      <c r="K391" s="28">
        <v>51474</v>
      </c>
      <c r="L391" s="28">
        <v>55035</v>
      </c>
      <c r="M391" s="28">
        <v>43019</v>
      </c>
      <c r="N391" s="28">
        <v>64248</v>
      </c>
      <c r="O391" s="28">
        <v>70870</v>
      </c>
      <c r="P391" s="28">
        <v>85598</v>
      </c>
      <c r="Q391" s="28">
        <v>80888</v>
      </c>
      <c r="R391" s="28">
        <v>97169</v>
      </c>
      <c r="S391" s="28">
        <v>96928</v>
      </c>
      <c r="T391" s="28">
        <v>92484</v>
      </c>
      <c r="U391" s="28">
        <v>95351</v>
      </c>
      <c r="V391" s="28">
        <v>108071</v>
      </c>
    </row>
    <row r="392" spans="1:22" ht="51" x14ac:dyDescent="0.2">
      <c r="A392" s="28" t="s">
        <v>339</v>
      </c>
      <c r="B392" s="28" t="s">
        <v>388</v>
      </c>
      <c r="C392" s="28">
        <v>0</v>
      </c>
      <c r="D392" s="28">
        <v>0</v>
      </c>
      <c r="E392" s="28">
        <v>0</v>
      </c>
      <c r="F392" s="28">
        <v>0</v>
      </c>
      <c r="G392" s="28">
        <v>0</v>
      </c>
      <c r="H392" s="28">
        <v>0</v>
      </c>
      <c r="I392" s="28">
        <v>0</v>
      </c>
      <c r="J392" s="28">
        <v>0</v>
      </c>
      <c r="K392" s="28">
        <v>0</v>
      </c>
      <c r="L392" s="28">
        <v>0</v>
      </c>
      <c r="M392" s="28">
        <v>0</v>
      </c>
      <c r="N392" s="28">
        <v>0</v>
      </c>
      <c r="O392" s="28">
        <v>0</v>
      </c>
      <c r="P392" s="28">
        <v>0</v>
      </c>
      <c r="Q392" s="28">
        <v>0</v>
      </c>
      <c r="R392" s="28">
        <v>0</v>
      </c>
      <c r="S392" s="28">
        <v>0</v>
      </c>
      <c r="T392" s="28">
        <v>574</v>
      </c>
      <c r="U392" s="28">
        <v>5901</v>
      </c>
      <c r="V392" s="28">
        <v>11752</v>
      </c>
    </row>
    <row r="393" spans="1:22" ht="63.75" x14ac:dyDescent="0.2">
      <c r="A393" s="28" t="s">
        <v>339</v>
      </c>
      <c r="B393" s="28" t="s">
        <v>389</v>
      </c>
      <c r="C393" s="28">
        <v>0</v>
      </c>
      <c r="D393" s="28">
        <v>0</v>
      </c>
      <c r="E393" s="28">
        <v>0</v>
      </c>
      <c r="F393" s="28">
        <v>0</v>
      </c>
      <c r="G393" s="28">
        <v>0</v>
      </c>
      <c r="H393" s="28">
        <v>0</v>
      </c>
      <c r="I393" s="28">
        <v>0</v>
      </c>
      <c r="J393" s="28">
        <v>0</v>
      </c>
      <c r="K393" s="28">
        <v>0</v>
      </c>
      <c r="L393" s="28">
        <v>0</v>
      </c>
      <c r="M393" s="28">
        <v>0</v>
      </c>
      <c r="N393" s="28">
        <v>7260</v>
      </c>
      <c r="O393" s="28">
        <v>5613</v>
      </c>
      <c r="P393" s="28">
        <v>7759</v>
      </c>
      <c r="Q393" s="28">
        <v>8022</v>
      </c>
      <c r="R393" s="28">
        <v>11171</v>
      </c>
      <c r="S393" s="28">
        <v>14317</v>
      </c>
      <c r="T393" s="28">
        <v>17362</v>
      </c>
      <c r="U393" s="28">
        <v>16999</v>
      </c>
      <c r="V393" s="28">
        <v>17182</v>
      </c>
    </row>
    <row r="394" spans="1:22" ht="38.25" x14ac:dyDescent="0.2">
      <c r="A394" s="28" t="s">
        <v>390</v>
      </c>
      <c r="B394" s="28" t="s">
        <v>391</v>
      </c>
      <c r="C394" s="28">
        <f t="shared" ref="C394:V394" si="80">C395+C407+C408+C409</f>
        <v>57439</v>
      </c>
      <c r="D394" s="28">
        <f t="shared" si="80"/>
        <v>55921</v>
      </c>
      <c r="E394" s="28">
        <f t="shared" si="80"/>
        <v>40528</v>
      </c>
      <c r="F394" s="28">
        <f t="shared" si="80"/>
        <v>41319</v>
      </c>
      <c r="G394" s="28">
        <f t="shared" si="80"/>
        <v>45925</v>
      </c>
      <c r="H394" s="28">
        <f t="shared" si="80"/>
        <v>41715</v>
      </c>
      <c r="I394" s="28">
        <f t="shared" si="80"/>
        <v>55293</v>
      </c>
      <c r="J394" s="28">
        <f t="shared" si="80"/>
        <v>41778</v>
      </c>
      <c r="K394" s="28">
        <f t="shared" si="80"/>
        <v>69472</v>
      </c>
      <c r="L394" s="28">
        <f t="shared" si="80"/>
        <v>139145</v>
      </c>
      <c r="M394" s="28">
        <f t="shared" si="80"/>
        <v>262144</v>
      </c>
      <c r="N394" s="28">
        <f t="shared" si="80"/>
        <v>185391</v>
      </c>
      <c r="O394" s="28">
        <f t="shared" si="80"/>
        <v>178763</v>
      </c>
      <c r="P394" s="28">
        <f t="shared" si="80"/>
        <v>188010</v>
      </c>
      <c r="Q394" s="28">
        <f t="shared" si="80"/>
        <v>209802</v>
      </c>
      <c r="R394" s="28">
        <f t="shared" si="80"/>
        <v>169264</v>
      </c>
      <c r="S394" s="28">
        <f t="shared" si="80"/>
        <v>232882</v>
      </c>
      <c r="T394" s="28">
        <f t="shared" si="80"/>
        <v>192127</v>
      </c>
      <c r="U394" s="28">
        <f t="shared" si="80"/>
        <v>201106</v>
      </c>
      <c r="V394" s="28">
        <f t="shared" si="80"/>
        <v>191762</v>
      </c>
    </row>
    <row r="395" spans="1:22" ht="38.25" x14ac:dyDescent="0.2">
      <c r="A395" s="28" t="s">
        <v>390</v>
      </c>
      <c r="B395" s="28" t="s">
        <v>392</v>
      </c>
      <c r="C395" s="28">
        <f t="shared" ref="C395:V395" si="81">SUM(C396:C406)</f>
        <v>34814</v>
      </c>
      <c r="D395" s="28">
        <f t="shared" si="81"/>
        <v>55443</v>
      </c>
      <c r="E395" s="28">
        <f t="shared" si="81"/>
        <v>40528</v>
      </c>
      <c r="F395" s="28">
        <f t="shared" si="81"/>
        <v>36771</v>
      </c>
      <c r="G395" s="28">
        <f t="shared" si="81"/>
        <v>40980</v>
      </c>
      <c r="H395" s="28">
        <f t="shared" si="81"/>
        <v>41129</v>
      </c>
      <c r="I395" s="28">
        <f t="shared" si="81"/>
        <v>54547</v>
      </c>
      <c r="J395" s="28">
        <f t="shared" si="81"/>
        <v>40920</v>
      </c>
      <c r="K395" s="28">
        <f t="shared" si="81"/>
        <v>57962</v>
      </c>
      <c r="L395" s="28">
        <f t="shared" si="81"/>
        <v>113293</v>
      </c>
      <c r="M395" s="28">
        <f t="shared" si="81"/>
        <v>131467</v>
      </c>
      <c r="N395" s="28">
        <f t="shared" si="81"/>
        <v>163418</v>
      </c>
      <c r="O395" s="28">
        <f t="shared" si="81"/>
        <v>155934</v>
      </c>
      <c r="P395" s="28">
        <f t="shared" si="81"/>
        <v>159129</v>
      </c>
      <c r="Q395" s="28">
        <f t="shared" si="81"/>
        <v>184888</v>
      </c>
      <c r="R395" s="28">
        <f t="shared" si="81"/>
        <v>168697</v>
      </c>
      <c r="S395" s="28">
        <f t="shared" si="81"/>
        <v>232214</v>
      </c>
      <c r="T395" s="28">
        <f t="shared" si="81"/>
        <v>183413</v>
      </c>
      <c r="U395" s="28">
        <f t="shared" si="81"/>
        <v>198078</v>
      </c>
      <c r="V395" s="28">
        <f t="shared" si="81"/>
        <v>162677</v>
      </c>
    </row>
    <row r="396" spans="1:22" ht="38.25" x14ac:dyDescent="0.2">
      <c r="A396" s="28" t="s">
        <v>390</v>
      </c>
      <c r="B396" s="28" t="s">
        <v>393</v>
      </c>
      <c r="C396" s="28">
        <v>29233</v>
      </c>
      <c r="D396" s="28">
        <v>28592</v>
      </c>
      <c r="E396" s="28">
        <v>23780</v>
      </c>
      <c r="F396" s="28">
        <v>24741</v>
      </c>
      <c r="G396" s="28">
        <v>27745</v>
      </c>
      <c r="H396" s="28">
        <v>28588</v>
      </c>
      <c r="I396" s="28">
        <v>25352</v>
      </c>
      <c r="J396" s="28">
        <v>29613</v>
      </c>
      <c r="K396" s="28">
        <v>29981</v>
      </c>
      <c r="L396" s="28">
        <v>71420</v>
      </c>
      <c r="M396" s="28">
        <v>83619</v>
      </c>
      <c r="N396" s="28">
        <v>73401</v>
      </c>
      <c r="O396" s="28">
        <v>58350</v>
      </c>
      <c r="P396" s="28">
        <v>42994</v>
      </c>
      <c r="Q396" s="28">
        <v>42219</v>
      </c>
      <c r="R396" s="28">
        <v>30755</v>
      </c>
      <c r="S396" s="28">
        <v>36857</v>
      </c>
      <c r="T396" s="28">
        <v>27388</v>
      </c>
      <c r="U396" s="28">
        <v>28638</v>
      </c>
      <c r="V396" s="28">
        <f>23660+314-2838</f>
        <v>21136</v>
      </c>
    </row>
    <row r="397" spans="1:22" ht="38.25" x14ac:dyDescent="0.2">
      <c r="A397" s="28" t="s">
        <v>390</v>
      </c>
      <c r="B397" s="28" t="s">
        <v>394</v>
      </c>
      <c r="C397" s="28">
        <v>0</v>
      </c>
      <c r="D397" s="28">
        <v>0</v>
      </c>
      <c r="E397" s="28">
        <v>0</v>
      </c>
      <c r="F397" s="28">
        <v>0</v>
      </c>
      <c r="G397" s="28">
        <v>0</v>
      </c>
      <c r="H397" s="28">
        <v>0</v>
      </c>
      <c r="I397" s="28">
        <v>0</v>
      </c>
      <c r="J397" s="28">
        <v>0</v>
      </c>
      <c r="K397" s="28"/>
      <c r="L397" s="28">
        <v>0</v>
      </c>
      <c r="M397" s="28">
        <v>0</v>
      </c>
      <c r="N397" s="28">
        <v>42199</v>
      </c>
      <c r="O397" s="28">
        <v>64727</v>
      </c>
      <c r="P397" s="28">
        <v>97795</v>
      </c>
      <c r="Q397" s="28">
        <v>117851</v>
      </c>
      <c r="R397" s="28">
        <v>99635</v>
      </c>
      <c r="S397" s="28">
        <v>157404</v>
      </c>
      <c r="T397" s="28">
        <v>124658</v>
      </c>
      <c r="U397" s="28">
        <f>112377+27561</f>
        <v>139938</v>
      </c>
      <c r="V397" s="28">
        <f>133677-27561</f>
        <v>106116</v>
      </c>
    </row>
    <row r="398" spans="1:22" ht="38.25" x14ac:dyDescent="0.2">
      <c r="A398" s="28" t="s">
        <v>390</v>
      </c>
      <c r="B398" s="28" t="s">
        <v>395</v>
      </c>
      <c r="C398" s="28">
        <v>0</v>
      </c>
      <c r="D398" s="28">
        <v>771</v>
      </c>
      <c r="E398" s="28">
        <v>879</v>
      </c>
      <c r="F398" s="28">
        <v>330</v>
      </c>
      <c r="G398" s="28">
        <v>0</v>
      </c>
      <c r="H398" s="28">
        <v>594</v>
      </c>
      <c r="I398" s="28">
        <v>114</v>
      </c>
      <c r="J398" s="28">
        <v>0</v>
      </c>
      <c r="K398" s="28">
        <v>0</v>
      </c>
      <c r="L398" s="28">
        <v>2216</v>
      </c>
      <c r="M398" s="28">
        <v>1500</v>
      </c>
      <c r="N398" s="28">
        <v>2381</v>
      </c>
      <c r="O398" s="28">
        <v>1887</v>
      </c>
      <c r="P398" s="28">
        <v>1766</v>
      </c>
      <c r="Q398" s="28">
        <v>2144</v>
      </c>
      <c r="R398" s="28">
        <v>1582</v>
      </c>
      <c r="S398" s="28">
        <v>1651</v>
      </c>
      <c r="T398" s="28">
        <v>1036</v>
      </c>
      <c r="U398" s="28">
        <v>1472</v>
      </c>
      <c r="V398" s="28">
        <v>1557</v>
      </c>
    </row>
    <row r="399" spans="1:22" ht="38.25" x14ac:dyDescent="0.2">
      <c r="A399" s="28" t="s">
        <v>390</v>
      </c>
      <c r="B399" s="28" t="s">
        <v>396</v>
      </c>
      <c r="C399" s="28">
        <v>1877</v>
      </c>
      <c r="D399" s="28">
        <v>878</v>
      </c>
      <c r="E399" s="28">
        <v>4088</v>
      </c>
      <c r="F399" s="28">
        <v>3566</v>
      </c>
      <c r="G399" s="28">
        <v>1626</v>
      </c>
      <c r="H399" s="28">
        <v>2056</v>
      </c>
      <c r="I399" s="28">
        <v>3470</v>
      </c>
      <c r="J399" s="28">
        <v>4049</v>
      </c>
      <c r="K399" s="28">
        <v>2335</v>
      </c>
      <c r="L399" s="28">
        <v>2088</v>
      </c>
      <c r="M399" s="28">
        <v>2403</v>
      </c>
      <c r="N399" s="28">
        <v>1592</v>
      </c>
      <c r="O399" s="28">
        <v>2611</v>
      </c>
      <c r="P399" s="28">
        <v>2265</v>
      </c>
      <c r="Q399" s="28">
        <v>3221</v>
      </c>
      <c r="R399" s="28">
        <v>3078</v>
      </c>
      <c r="S399" s="28">
        <v>2512</v>
      </c>
      <c r="T399" s="28">
        <v>2408</v>
      </c>
      <c r="U399" s="28">
        <v>2192</v>
      </c>
      <c r="V399" s="28">
        <v>2249</v>
      </c>
    </row>
    <row r="400" spans="1:22" ht="63.75" x14ac:dyDescent="0.2">
      <c r="A400" s="28" t="s">
        <v>390</v>
      </c>
      <c r="B400" s="28" t="s">
        <v>397</v>
      </c>
      <c r="C400" s="28">
        <v>0</v>
      </c>
      <c r="D400" s="28">
        <v>17762</v>
      </c>
      <c r="E400" s="28">
        <v>5598</v>
      </c>
      <c r="F400" s="28">
        <v>3114</v>
      </c>
      <c r="G400" s="28">
        <v>6692</v>
      </c>
      <c r="H400" s="28">
        <v>3568</v>
      </c>
      <c r="I400" s="28">
        <v>18911</v>
      </c>
      <c r="J400" s="28">
        <v>1582</v>
      </c>
      <c r="K400" s="28">
        <v>15923</v>
      </c>
      <c r="L400" s="28">
        <v>17610</v>
      </c>
      <c r="M400" s="28">
        <v>22638</v>
      </c>
      <c r="N400" s="28">
        <v>18996</v>
      </c>
      <c r="O400" s="28">
        <v>10758</v>
      </c>
      <c r="P400" s="28">
        <v>932</v>
      </c>
      <c r="Q400" s="28">
        <v>777</v>
      </c>
      <c r="R400" s="28">
        <v>503</v>
      </c>
      <c r="S400" s="28">
        <v>593</v>
      </c>
      <c r="T400" s="28">
        <v>348</v>
      </c>
      <c r="U400" s="28">
        <v>468</v>
      </c>
      <c r="V400" s="28">
        <v>488</v>
      </c>
    </row>
    <row r="401" spans="1:22" ht="38.25" x14ac:dyDescent="0.2">
      <c r="A401" s="28" t="s">
        <v>390</v>
      </c>
      <c r="B401" s="28" t="s">
        <v>398</v>
      </c>
      <c r="C401" s="28">
        <v>0</v>
      </c>
      <c r="D401" s="28">
        <v>0</v>
      </c>
      <c r="E401" s="28">
        <v>0</v>
      </c>
      <c r="F401" s="28">
        <v>0</v>
      </c>
      <c r="G401" s="28">
        <v>0</v>
      </c>
      <c r="H401" s="28">
        <v>0</v>
      </c>
      <c r="I401" s="28">
        <v>0</v>
      </c>
      <c r="J401" s="28">
        <v>0</v>
      </c>
      <c r="K401" s="28">
        <v>0</v>
      </c>
      <c r="L401" s="28">
        <v>0</v>
      </c>
      <c r="M401" s="28">
        <v>0</v>
      </c>
      <c r="N401" s="28">
        <v>0</v>
      </c>
      <c r="O401" s="28">
        <v>0</v>
      </c>
      <c r="P401" s="28">
        <v>0</v>
      </c>
      <c r="Q401" s="28">
        <v>0</v>
      </c>
      <c r="R401" s="28">
        <v>0</v>
      </c>
      <c r="S401" s="28">
        <v>0</v>
      </c>
      <c r="T401" s="28">
        <v>0</v>
      </c>
      <c r="U401" s="28">
        <v>0</v>
      </c>
      <c r="V401" s="28">
        <v>0</v>
      </c>
    </row>
    <row r="402" spans="1:22" ht="51" x14ac:dyDescent="0.2">
      <c r="A402" s="28" t="s">
        <v>390</v>
      </c>
      <c r="B402" s="28" t="s">
        <v>399</v>
      </c>
      <c r="C402" s="28">
        <v>0</v>
      </c>
      <c r="D402" s="28">
        <v>0</v>
      </c>
      <c r="E402" s="28">
        <v>0</v>
      </c>
      <c r="F402" s="28">
        <v>0</v>
      </c>
      <c r="G402" s="28">
        <v>0</v>
      </c>
      <c r="H402" s="28">
        <v>0</v>
      </c>
      <c r="I402" s="28">
        <v>0</v>
      </c>
      <c r="J402" s="28">
        <v>0</v>
      </c>
      <c r="K402" s="28">
        <v>0</v>
      </c>
      <c r="L402" s="28">
        <v>0</v>
      </c>
      <c r="M402" s="28">
        <v>0</v>
      </c>
      <c r="N402" s="28">
        <v>0</v>
      </c>
      <c r="O402" s="28">
        <v>0</v>
      </c>
      <c r="P402" s="28">
        <v>0</v>
      </c>
      <c r="Q402" s="28">
        <v>0</v>
      </c>
      <c r="R402" s="28">
        <v>0</v>
      </c>
      <c r="S402" s="28">
        <v>0</v>
      </c>
      <c r="T402" s="28">
        <v>0</v>
      </c>
      <c r="U402" s="28">
        <v>0</v>
      </c>
      <c r="V402" s="28">
        <v>0</v>
      </c>
    </row>
    <row r="403" spans="1:22" ht="38.25" x14ac:dyDescent="0.2">
      <c r="A403" s="28" t="s">
        <v>390</v>
      </c>
      <c r="B403" s="28" t="s">
        <v>400</v>
      </c>
      <c r="C403" s="28">
        <v>0</v>
      </c>
      <c r="D403" s="28">
        <v>0</v>
      </c>
      <c r="E403" s="28">
        <v>0</v>
      </c>
      <c r="F403" s="28">
        <v>0</v>
      </c>
      <c r="G403" s="28">
        <v>0</v>
      </c>
      <c r="H403" s="28">
        <v>0</v>
      </c>
      <c r="I403" s="28">
        <v>0</v>
      </c>
      <c r="J403" s="28">
        <v>0</v>
      </c>
      <c r="K403" s="28">
        <v>0</v>
      </c>
      <c r="L403" s="28">
        <v>0</v>
      </c>
      <c r="M403" s="28">
        <v>0</v>
      </c>
      <c r="N403" s="28">
        <v>0</v>
      </c>
      <c r="O403" s="28">
        <v>0</v>
      </c>
      <c r="P403" s="28">
        <v>0</v>
      </c>
      <c r="Q403" s="28">
        <v>0</v>
      </c>
      <c r="R403" s="28">
        <v>0</v>
      </c>
      <c r="S403" s="28">
        <v>0</v>
      </c>
      <c r="T403" s="28">
        <v>0</v>
      </c>
      <c r="U403" s="28">
        <v>0</v>
      </c>
      <c r="V403" s="28">
        <v>0</v>
      </c>
    </row>
    <row r="404" spans="1:22" ht="51" x14ac:dyDescent="0.2">
      <c r="A404" s="28" t="s">
        <v>390</v>
      </c>
      <c r="B404" s="28" t="s">
        <v>401</v>
      </c>
      <c r="C404" s="28">
        <v>3704</v>
      </c>
      <c r="D404" s="28">
        <v>7440</v>
      </c>
      <c r="E404" s="28">
        <v>6183</v>
      </c>
      <c r="F404" s="28">
        <v>5020</v>
      </c>
      <c r="G404" s="28">
        <v>4917</v>
      </c>
      <c r="H404" s="28">
        <v>6323</v>
      </c>
      <c r="I404" s="28">
        <v>6700</v>
      </c>
      <c r="J404" s="28">
        <v>5676</v>
      </c>
      <c r="K404" s="28">
        <v>9723</v>
      </c>
      <c r="L404" s="28">
        <v>19959</v>
      </c>
      <c r="M404" s="28">
        <v>21307</v>
      </c>
      <c r="N404" s="28">
        <v>24849</v>
      </c>
      <c r="O404" s="28">
        <v>17601</v>
      </c>
      <c r="P404" s="28">
        <v>13377</v>
      </c>
      <c r="Q404" s="28">
        <v>18676</v>
      </c>
      <c r="R404" s="28">
        <v>33144</v>
      </c>
      <c r="S404" s="28">
        <v>33197</v>
      </c>
      <c r="T404" s="28">
        <v>27574</v>
      </c>
      <c r="U404" s="28">
        <v>25370</v>
      </c>
      <c r="V404" s="28">
        <v>31130</v>
      </c>
    </row>
    <row r="405" spans="1:22" ht="51" x14ac:dyDescent="0.2">
      <c r="A405" s="28" t="s">
        <v>390</v>
      </c>
      <c r="B405" s="28" t="s">
        <v>402</v>
      </c>
      <c r="C405" s="28">
        <v>0</v>
      </c>
      <c r="D405" s="28">
        <v>0</v>
      </c>
      <c r="E405" s="28">
        <v>0</v>
      </c>
      <c r="F405" s="28">
        <v>0</v>
      </c>
      <c r="G405" s="28">
        <v>0</v>
      </c>
      <c r="H405" s="28">
        <v>0</v>
      </c>
      <c r="I405" s="28">
        <v>0</v>
      </c>
      <c r="J405" s="28">
        <v>0</v>
      </c>
      <c r="K405" s="28">
        <v>0</v>
      </c>
      <c r="L405" s="28">
        <v>0</v>
      </c>
      <c r="M405" s="28">
        <v>0</v>
      </c>
      <c r="N405" s="28">
        <v>0</v>
      </c>
      <c r="O405" s="28">
        <v>0</v>
      </c>
      <c r="P405" s="28">
        <v>0</v>
      </c>
      <c r="Q405" s="28">
        <v>0</v>
      </c>
      <c r="R405" s="28">
        <v>0</v>
      </c>
      <c r="S405" s="28">
        <v>0</v>
      </c>
      <c r="T405" s="28">
        <v>0</v>
      </c>
      <c r="U405" s="28">
        <v>0</v>
      </c>
      <c r="V405" s="28">
        <v>0</v>
      </c>
    </row>
    <row r="406" spans="1:22" ht="38.25" x14ac:dyDescent="0.2">
      <c r="A406" s="28" t="s">
        <v>390</v>
      </c>
      <c r="B406" s="28" t="s">
        <v>403</v>
      </c>
      <c r="C406" s="28">
        <v>0</v>
      </c>
      <c r="D406" s="28">
        <v>0</v>
      </c>
      <c r="E406" s="28">
        <v>0</v>
      </c>
      <c r="F406" s="28">
        <v>0</v>
      </c>
      <c r="G406" s="28">
        <v>0</v>
      </c>
      <c r="H406" s="28">
        <v>0</v>
      </c>
      <c r="I406" s="28">
        <v>0</v>
      </c>
      <c r="J406" s="28">
        <v>0</v>
      </c>
      <c r="K406" s="28">
        <v>0</v>
      </c>
      <c r="L406" s="28">
        <v>0</v>
      </c>
      <c r="M406" s="28">
        <v>0</v>
      </c>
      <c r="N406" s="28">
        <v>0</v>
      </c>
      <c r="O406" s="28">
        <v>0</v>
      </c>
      <c r="P406" s="28">
        <v>0</v>
      </c>
      <c r="Q406" s="28">
        <v>0</v>
      </c>
      <c r="R406" s="28">
        <f>3-3</f>
        <v>0</v>
      </c>
      <c r="S406" s="28">
        <v>0</v>
      </c>
      <c r="T406" s="28">
        <v>1</v>
      </c>
      <c r="U406" s="28">
        <v>0</v>
      </c>
      <c r="V406" s="28">
        <v>1</v>
      </c>
    </row>
    <row r="407" spans="1:22" ht="25.5" x14ac:dyDescent="0.2">
      <c r="A407" s="28" t="s">
        <v>390</v>
      </c>
      <c r="B407" s="28" t="s">
        <v>404</v>
      </c>
      <c r="C407" s="28">
        <v>22625</v>
      </c>
      <c r="D407" s="28">
        <v>478</v>
      </c>
      <c r="E407" s="28">
        <v>0</v>
      </c>
      <c r="F407" s="28">
        <v>4548</v>
      </c>
      <c r="G407" s="28">
        <v>95</v>
      </c>
      <c r="H407" s="28">
        <v>586</v>
      </c>
      <c r="I407" s="28">
        <v>746</v>
      </c>
      <c r="J407" s="28">
        <v>0</v>
      </c>
      <c r="K407" s="28">
        <v>10600</v>
      </c>
      <c r="L407" s="28">
        <v>19723</v>
      </c>
      <c r="M407" s="28">
        <v>20115</v>
      </c>
      <c r="N407" s="28">
        <v>21973</v>
      </c>
      <c r="O407" s="28">
        <v>21624</v>
      </c>
      <c r="P407" s="28">
        <v>28881</v>
      </c>
      <c r="Q407" s="28">
        <v>24914</v>
      </c>
      <c r="R407" s="28">
        <v>567</v>
      </c>
      <c r="S407" s="28">
        <v>668</v>
      </c>
      <c r="T407" s="28">
        <v>8714</v>
      </c>
      <c r="U407" s="28">
        <v>3028</v>
      </c>
      <c r="V407" s="28">
        <v>29085</v>
      </c>
    </row>
    <row r="408" spans="1:22" ht="38.25" x14ac:dyDescent="0.2">
      <c r="A408" s="28" t="s">
        <v>390</v>
      </c>
      <c r="B408" s="28" t="s">
        <v>405</v>
      </c>
      <c r="C408" s="28">
        <v>0</v>
      </c>
      <c r="D408" s="28">
        <v>0</v>
      </c>
      <c r="E408" s="28">
        <v>0</v>
      </c>
      <c r="F408" s="28">
        <v>0</v>
      </c>
      <c r="G408" s="28">
        <v>286</v>
      </c>
      <c r="H408" s="28">
        <v>0</v>
      </c>
      <c r="I408" s="28">
        <v>0</v>
      </c>
      <c r="J408" s="28">
        <v>82</v>
      </c>
      <c r="K408" s="28">
        <v>910</v>
      </c>
      <c r="L408" s="28">
        <v>714</v>
      </c>
      <c r="M408" s="28">
        <v>0</v>
      </c>
      <c r="N408" s="28">
        <v>0</v>
      </c>
      <c r="O408" s="28">
        <v>0</v>
      </c>
      <c r="P408" s="28">
        <v>0</v>
      </c>
      <c r="Q408" s="28">
        <v>0</v>
      </c>
      <c r="R408" s="28">
        <v>0</v>
      </c>
      <c r="S408" s="28">
        <v>0</v>
      </c>
      <c r="T408" s="28">
        <v>0</v>
      </c>
      <c r="U408" s="28">
        <v>0</v>
      </c>
      <c r="V408" s="28">
        <v>0</v>
      </c>
    </row>
    <row r="409" spans="1:22" ht="38.25" x14ac:dyDescent="0.2">
      <c r="A409" s="28" t="s">
        <v>390</v>
      </c>
      <c r="B409" s="28" t="s">
        <v>406</v>
      </c>
      <c r="C409" s="28"/>
      <c r="D409" s="28"/>
      <c r="E409" s="28">
        <v>0</v>
      </c>
      <c r="F409" s="28">
        <v>0</v>
      </c>
      <c r="G409" s="28">
        <v>4564</v>
      </c>
      <c r="H409" s="28">
        <v>0</v>
      </c>
      <c r="I409" s="28">
        <v>0</v>
      </c>
      <c r="J409" s="28">
        <v>776</v>
      </c>
      <c r="K409" s="28">
        <v>0</v>
      </c>
      <c r="L409" s="28">
        <v>5415</v>
      </c>
      <c r="M409" s="28">
        <v>110562</v>
      </c>
      <c r="N409" s="28">
        <v>0</v>
      </c>
      <c r="O409" s="28">
        <v>1205</v>
      </c>
      <c r="P409" s="28">
        <v>0</v>
      </c>
      <c r="Q409" s="28">
        <v>0</v>
      </c>
      <c r="R409" s="28">
        <v>0</v>
      </c>
      <c r="S409" s="28">
        <v>0</v>
      </c>
      <c r="T409" s="28">
        <v>0</v>
      </c>
      <c r="U409" s="28">
        <v>0</v>
      </c>
      <c r="V409" s="28">
        <v>0</v>
      </c>
    </row>
    <row r="410" spans="1:22" ht="63.75" x14ac:dyDescent="0.2">
      <c r="A410" s="28" t="s">
        <v>407</v>
      </c>
      <c r="B410" s="28" t="s">
        <v>408</v>
      </c>
      <c r="C410" s="28">
        <f>C413+C425+C429+C432+C434+C454+C455+C456+C457+C458+C446</f>
        <v>498264</v>
      </c>
      <c r="D410" s="28">
        <f t="shared" ref="D410:U410" si="82">D413+D425+D429+D432+D434+D454+D455+D456+D457+D458+D446</f>
        <v>535450</v>
      </c>
      <c r="E410" s="28">
        <f t="shared" si="82"/>
        <v>571326</v>
      </c>
      <c r="F410" s="28">
        <f t="shared" si="82"/>
        <v>593325</v>
      </c>
      <c r="G410" s="28">
        <f t="shared" si="82"/>
        <v>574755</v>
      </c>
      <c r="H410" s="28">
        <f t="shared" si="82"/>
        <v>561602</v>
      </c>
      <c r="I410" s="28">
        <f t="shared" si="82"/>
        <v>555706</v>
      </c>
      <c r="J410" s="28">
        <f t="shared" si="82"/>
        <v>580090</v>
      </c>
      <c r="K410" s="28">
        <f t="shared" si="82"/>
        <v>617724</v>
      </c>
      <c r="L410" s="28">
        <f t="shared" si="82"/>
        <v>718628</v>
      </c>
      <c r="M410" s="28">
        <f t="shared" si="82"/>
        <v>956084</v>
      </c>
      <c r="N410" s="28">
        <f t="shared" si="82"/>
        <v>918331</v>
      </c>
      <c r="O410" s="28">
        <f t="shared" si="82"/>
        <v>969401</v>
      </c>
      <c r="P410" s="28">
        <f t="shared" si="82"/>
        <v>1042729</v>
      </c>
      <c r="Q410" s="28">
        <f t="shared" si="82"/>
        <v>1077162</v>
      </c>
      <c r="R410" s="28">
        <f t="shared" si="82"/>
        <v>1126891</v>
      </c>
      <c r="S410" s="28">
        <f t="shared" si="82"/>
        <v>1127169</v>
      </c>
      <c r="T410" s="28">
        <f t="shared" si="82"/>
        <v>1238159</v>
      </c>
      <c r="U410" s="28">
        <f t="shared" si="82"/>
        <v>1404764</v>
      </c>
      <c r="V410" s="28">
        <f>V413+V425+V429+V432+V434+V454+V455+V456+V457+V458+V446</f>
        <v>1501065</v>
      </c>
    </row>
    <row r="411" spans="1:22" ht="38.25" x14ac:dyDescent="0.2">
      <c r="A411" s="28" t="s">
        <v>407</v>
      </c>
      <c r="B411" s="28" t="s">
        <v>409</v>
      </c>
      <c r="C411" s="28">
        <f t="shared" ref="C411:V411" si="83">C413+C425+C429+C432</f>
        <v>421706</v>
      </c>
      <c r="D411" s="28">
        <f t="shared" si="83"/>
        <v>454123</v>
      </c>
      <c r="E411" s="28">
        <f t="shared" si="83"/>
        <v>483866</v>
      </c>
      <c r="F411" s="28">
        <f t="shared" si="83"/>
        <v>495763</v>
      </c>
      <c r="G411" s="28">
        <f t="shared" si="83"/>
        <v>480170</v>
      </c>
      <c r="H411" s="28">
        <f t="shared" si="83"/>
        <v>464018</v>
      </c>
      <c r="I411" s="28">
        <f t="shared" si="83"/>
        <v>458903</v>
      </c>
      <c r="J411" s="28">
        <f t="shared" si="83"/>
        <v>498236</v>
      </c>
      <c r="K411" s="28">
        <f t="shared" si="83"/>
        <v>528504</v>
      </c>
      <c r="L411" s="28">
        <f t="shared" si="83"/>
        <v>624105</v>
      </c>
      <c r="M411" s="28">
        <f t="shared" si="83"/>
        <v>850804</v>
      </c>
      <c r="N411" s="28">
        <f t="shared" si="83"/>
        <v>793541</v>
      </c>
      <c r="O411" s="28">
        <f t="shared" si="83"/>
        <v>835492</v>
      </c>
      <c r="P411" s="28">
        <f t="shared" si="83"/>
        <v>905211</v>
      </c>
      <c r="Q411" s="28">
        <f t="shared" si="83"/>
        <v>930730</v>
      </c>
      <c r="R411" s="28">
        <f t="shared" si="83"/>
        <v>982921</v>
      </c>
      <c r="S411" s="28">
        <f t="shared" si="83"/>
        <v>984871</v>
      </c>
      <c r="T411" s="28">
        <f t="shared" si="83"/>
        <v>1090205</v>
      </c>
      <c r="U411" s="28">
        <f t="shared" si="83"/>
        <v>1252182</v>
      </c>
      <c r="V411" s="28">
        <f t="shared" si="83"/>
        <v>1336245</v>
      </c>
    </row>
    <row r="412" spans="1:22" ht="51" x14ac:dyDescent="0.2">
      <c r="A412" s="28" t="s">
        <v>407</v>
      </c>
      <c r="B412" s="28" t="s">
        <v>410</v>
      </c>
      <c r="C412" s="28">
        <f t="shared" ref="C412:V412" si="84">C413+C425-C428+C430+C433</f>
        <v>355690</v>
      </c>
      <c r="D412" s="28">
        <f t="shared" si="84"/>
        <v>385111</v>
      </c>
      <c r="E412" s="28">
        <f t="shared" si="84"/>
        <v>410184</v>
      </c>
      <c r="F412" s="28">
        <f t="shared" si="84"/>
        <v>410444</v>
      </c>
      <c r="G412" s="28">
        <f t="shared" si="84"/>
        <v>410046</v>
      </c>
      <c r="H412" s="28">
        <f t="shared" si="84"/>
        <v>409129</v>
      </c>
      <c r="I412" s="28">
        <f t="shared" si="84"/>
        <v>411976</v>
      </c>
      <c r="J412" s="28">
        <f t="shared" si="84"/>
        <v>444627</v>
      </c>
      <c r="K412" s="28">
        <f t="shared" si="84"/>
        <v>459961</v>
      </c>
      <c r="L412" s="28">
        <f t="shared" si="84"/>
        <v>536068</v>
      </c>
      <c r="M412" s="28">
        <f t="shared" si="84"/>
        <v>759917</v>
      </c>
      <c r="N412" s="28">
        <f t="shared" si="84"/>
        <v>712335</v>
      </c>
      <c r="O412" s="28">
        <f t="shared" si="84"/>
        <v>769057</v>
      </c>
      <c r="P412" s="28">
        <f t="shared" si="84"/>
        <v>841995</v>
      </c>
      <c r="Q412" s="28">
        <f t="shared" si="84"/>
        <v>876894</v>
      </c>
      <c r="R412" s="28">
        <f t="shared" si="84"/>
        <v>936086</v>
      </c>
      <c r="S412" s="28">
        <f t="shared" si="84"/>
        <v>935992</v>
      </c>
      <c r="T412" s="28">
        <f t="shared" si="84"/>
        <v>1033340</v>
      </c>
      <c r="U412" s="28">
        <f>U413+U425-U428+U430+U433</f>
        <v>1183273</v>
      </c>
      <c r="V412" s="28">
        <f t="shared" si="84"/>
        <v>1262144</v>
      </c>
    </row>
    <row r="413" spans="1:22" ht="51" x14ac:dyDescent="0.2">
      <c r="A413" s="28" t="s">
        <v>407</v>
      </c>
      <c r="B413" s="28" t="s">
        <v>411</v>
      </c>
      <c r="C413" s="28">
        <f t="shared" ref="C413:V413" si="85">SUM(C414:C424)</f>
        <v>327097</v>
      </c>
      <c r="D413" s="28">
        <f t="shared" si="85"/>
        <v>350598</v>
      </c>
      <c r="E413" s="28">
        <f t="shared" si="85"/>
        <v>370958</v>
      </c>
      <c r="F413" s="28">
        <f t="shared" si="85"/>
        <v>371328</v>
      </c>
      <c r="G413" s="28">
        <f t="shared" si="85"/>
        <v>366148</v>
      </c>
      <c r="H413" s="28">
        <f t="shared" si="85"/>
        <v>362699</v>
      </c>
      <c r="I413" s="28">
        <f t="shared" si="85"/>
        <v>367266</v>
      </c>
      <c r="J413" s="28">
        <f t="shared" si="85"/>
        <v>401731</v>
      </c>
      <c r="K413" s="28">
        <f t="shared" si="85"/>
        <v>411995</v>
      </c>
      <c r="L413" s="28">
        <f t="shared" si="85"/>
        <v>481603</v>
      </c>
      <c r="M413" s="28">
        <f t="shared" si="85"/>
        <v>696092</v>
      </c>
      <c r="N413" s="28">
        <f t="shared" si="85"/>
        <v>635812</v>
      </c>
      <c r="O413" s="28">
        <f t="shared" si="85"/>
        <v>691487</v>
      </c>
      <c r="P413" s="28">
        <f t="shared" si="85"/>
        <v>765364</v>
      </c>
      <c r="Q413" s="28">
        <f t="shared" si="85"/>
        <v>801675</v>
      </c>
      <c r="R413" s="28">
        <f t="shared" si="85"/>
        <v>861109</v>
      </c>
      <c r="S413" s="28">
        <f t="shared" si="85"/>
        <v>868239</v>
      </c>
      <c r="T413" s="28">
        <f t="shared" si="85"/>
        <v>965070</v>
      </c>
      <c r="U413" s="28">
        <f t="shared" si="85"/>
        <v>1114207</v>
      </c>
      <c r="V413" s="28">
        <f t="shared" si="85"/>
        <v>1192841</v>
      </c>
    </row>
    <row r="414" spans="1:22" ht="38.25" x14ac:dyDescent="0.2">
      <c r="A414" s="28" t="s">
        <v>407</v>
      </c>
      <c r="B414" s="28" t="s">
        <v>412</v>
      </c>
      <c r="C414" s="28">
        <f t="shared" ref="C414:T414" si="86">C170+C220+C274+C326-C349-C396</f>
        <v>88581</v>
      </c>
      <c r="D414" s="28">
        <f t="shared" si="86"/>
        <v>86159</v>
      </c>
      <c r="E414" s="28">
        <f t="shared" si="86"/>
        <v>94084</v>
      </c>
      <c r="F414" s="28">
        <f t="shared" si="86"/>
        <v>97816</v>
      </c>
      <c r="G414" s="28">
        <f t="shared" si="86"/>
        <v>96497</v>
      </c>
      <c r="H414" s="28">
        <f t="shared" si="86"/>
        <v>95348</v>
      </c>
      <c r="I414" s="28">
        <f t="shared" si="86"/>
        <v>104114</v>
      </c>
      <c r="J414" s="28">
        <f t="shared" si="86"/>
        <v>119949</v>
      </c>
      <c r="K414" s="28">
        <f t="shared" si="86"/>
        <v>146551</v>
      </c>
      <c r="L414" s="28">
        <f t="shared" si="86"/>
        <v>228019</v>
      </c>
      <c r="M414" s="28">
        <f t="shared" si="86"/>
        <v>294854</v>
      </c>
      <c r="N414" s="28">
        <f t="shared" si="86"/>
        <v>130158</v>
      </c>
      <c r="O414" s="28">
        <f t="shared" si="86"/>
        <v>93434</v>
      </c>
      <c r="P414" s="28">
        <f t="shared" si="86"/>
        <v>79450</v>
      </c>
      <c r="Q414" s="28">
        <f t="shared" si="86"/>
        <v>76098</v>
      </c>
      <c r="R414" s="28">
        <f t="shared" si="86"/>
        <v>71809</v>
      </c>
      <c r="S414" s="28">
        <f t="shared" si="86"/>
        <v>57431</v>
      </c>
      <c r="T414" s="28">
        <f t="shared" si="86"/>
        <v>59524</v>
      </c>
      <c r="U414" s="28">
        <f>U170+U220+U274+U320+U326-U349-U396</f>
        <v>61119</v>
      </c>
      <c r="V414" s="28">
        <f>V170+V220+V274+V320+V326-V349-V396</f>
        <v>55355</v>
      </c>
    </row>
    <row r="415" spans="1:22" ht="38.25" x14ac:dyDescent="0.2">
      <c r="A415" s="28" t="s">
        <v>407</v>
      </c>
      <c r="B415" s="28" t="s">
        <v>413</v>
      </c>
      <c r="C415" s="28">
        <f t="shared" ref="C415:T415" si="87">C171+C221+C275+C327-C350-C397</f>
        <v>0</v>
      </c>
      <c r="D415" s="28">
        <f t="shared" si="87"/>
        <v>0</v>
      </c>
      <c r="E415" s="28">
        <f t="shared" si="87"/>
        <v>0</v>
      </c>
      <c r="F415" s="28">
        <f t="shared" si="87"/>
        <v>0</v>
      </c>
      <c r="G415" s="28">
        <f t="shared" si="87"/>
        <v>0</v>
      </c>
      <c r="H415" s="28">
        <f t="shared" si="87"/>
        <v>0</v>
      </c>
      <c r="I415" s="28">
        <f t="shared" si="87"/>
        <v>0</v>
      </c>
      <c r="J415" s="28">
        <f t="shared" si="87"/>
        <v>0</v>
      </c>
      <c r="K415" s="28">
        <f t="shared" si="87"/>
        <v>0</v>
      </c>
      <c r="L415" s="28">
        <f t="shared" si="87"/>
        <v>0</v>
      </c>
      <c r="M415" s="28">
        <f t="shared" si="87"/>
        <v>142760</v>
      </c>
      <c r="N415" s="28">
        <f t="shared" si="87"/>
        <v>222397</v>
      </c>
      <c r="O415" s="28">
        <f t="shared" si="87"/>
        <v>275412</v>
      </c>
      <c r="P415" s="28">
        <f t="shared" si="87"/>
        <v>348733</v>
      </c>
      <c r="Q415" s="28">
        <f t="shared" si="87"/>
        <v>368160</v>
      </c>
      <c r="R415" s="28">
        <f t="shared" si="87"/>
        <v>424203</v>
      </c>
      <c r="S415" s="28">
        <f t="shared" si="87"/>
        <v>453169</v>
      </c>
      <c r="T415" s="28">
        <f t="shared" si="87"/>
        <v>536846</v>
      </c>
      <c r="U415" s="28">
        <f>U171+U221+U275+U321+U327-U350-U397</f>
        <v>667887</v>
      </c>
      <c r="V415" s="28">
        <f>V171+V221+V275+V321+V327-V350-V397</f>
        <v>748156</v>
      </c>
    </row>
    <row r="416" spans="1:22" ht="38.25" x14ac:dyDescent="0.2">
      <c r="A416" s="28" t="s">
        <v>407</v>
      </c>
      <c r="B416" s="28" t="s">
        <v>414</v>
      </c>
      <c r="C416" s="28">
        <f>C172+C222+C276+C328-C351-C398+4959</f>
        <v>4959</v>
      </c>
      <c r="D416" s="28">
        <f t="shared" ref="D416:V416" si="88">D172+D222+D276+D328-D351-D398</f>
        <v>5099</v>
      </c>
      <c r="E416" s="28">
        <f t="shared" si="88"/>
        <v>4939</v>
      </c>
      <c r="F416" s="28">
        <f t="shared" si="88"/>
        <v>5164</v>
      </c>
      <c r="G416" s="28">
        <f t="shared" si="88"/>
        <v>5526</v>
      </c>
      <c r="H416" s="28">
        <f t="shared" si="88"/>
        <v>5330</v>
      </c>
      <c r="I416" s="28">
        <f t="shared" si="88"/>
        <v>5996</v>
      </c>
      <c r="J416" s="28">
        <f t="shared" si="88"/>
        <v>6741</v>
      </c>
      <c r="K416" s="28">
        <f t="shared" si="88"/>
        <v>8292</v>
      </c>
      <c r="L416" s="28">
        <f t="shared" si="88"/>
        <v>8288</v>
      </c>
      <c r="M416" s="28">
        <f t="shared" si="88"/>
        <v>8790</v>
      </c>
      <c r="N416" s="28">
        <f t="shared" si="88"/>
        <v>7732</v>
      </c>
      <c r="O416" s="28">
        <f t="shared" si="88"/>
        <v>7463</v>
      </c>
      <c r="P416" s="28">
        <f t="shared" si="88"/>
        <v>7588</v>
      </c>
      <c r="Q416" s="28">
        <f t="shared" si="88"/>
        <v>7066</v>
      </c>
      <c r="R416" s="28">
        <f t="shared" si="88"/>
        <v>6938</v>
      </c>
      <c r="S416" s="28">
        <f t="shared" si="88"/>
        <v>6746</v>
      </c>
      <c r="T416" s="28">
        <f t="shared" si="88"/>
        <v>7044</v>
      </c>
      <c r="U416" s="28">
        <f t="shared" si="88"/>
        <v>7037</v>
      </c>
      <c r="V416" s="28">
        <f t="shared" si="88"/>
        <v>7034</v>
      </c>
    </row>
    <row r="417" spans="1:22" ht="38.25" x14ac:dyDescent="0.2">
      <c r="A417" s="28" t="s">
        <v>407</v>
      </c>
      <c r="B417" s="28" t="s">
        <v>415</v>
      </c>
      <c r="C417" s="28">
        <f t="shared" ref="C417:C424" si="89">C173+C223+C277+C329-C352-C399</f>
        <v>15280</v>
      </c>
      <c r="D417" s="28">
        <f t="shared" ref="D417:V417" si="90">D173+D223+D277+D329-D352-D399</f>
        <v>17926</v>
      </c>
      <c r="E417" s="28">
        <f t="shared" si="90"/>
        <v>18085</v>
      </c>
      <c r="F417" s="28">
        <f t="shared" si="90"/>
        <v>18126</v>
      </c>
      <c r="G417" s="28">
        <f t="shared" si="90"/>
        <v>16663</v>
      </c>
      <c r="H417" s="28">
        <f t="shared" si="90"/>
        <v>15143</v>
      </c>
      <c r="I417" s="28">
        <f t="shared" si="90"/>
        <v>14760</v>
      </c>
      <c r="J417" s="28">
        <f t="shared" si="90"/>
        <v>13915</v>
      </c>
      <c r="K417" s="28">
        <f t="shared" si="90"/>
        <v>14880</v>
      </c>
      <c r="L417" s="28">
        <f t="shared" si="90"/>
        <v>15030</v>
      </c>
      <c r="M417" s="28">
        <f t="shared" si="90"/>
        <v>16074</v>
      </c>
      <c r="N417" s="28">
        <f t="shared" si="90"/>
        <v>17707</v>
      </c>
      <c r="O417" s="28">
        <f t="shared" si="90"/>
        <v>18220</v>
      </c>
      <c r="P417" s="28">
        <f t="shared" si="90"/>
        <v>19110</v>
      </c>
      <c r="Q417" s="28">
        <f t="shared" si="90"/>
        <v>19209</v>
      </c>
      <c r="R417" s="28">
        <f t="shared" si="90"/>
        <v>19483</v>
      </c>
      <c r="S417" s="28">
        <f t="shared" si="90"/>
        <v>19614</v>
      </c>
      <c r="T417" s="28">
        <f t="shared" si="90"/>
        <v>20356</v>
      </c>
      <c r="U417" s="28">
        <f t="shared" si="90"/>
        <v>21762</v>
      </c>
      <c r="V417" s="28">
        <f t="shared" si="90"/>
        <v>21800</v>
      </c>
    </row>
    <row r="418" spans="1:22" ht="51" x14ac:dyDescent="0.2">
      <c r="A418" s="28" t="s">
        <v>407</v>
      </c>
      <c r="B418" s="28" t="s">
        <v>416</v>
      </c>
      <c r="C418" s="28">
        <f t="shared" si="89"/>
        <v>41088</v>
      </c>
      <c r="D418" s="28">
        <f t="shared" ref="D418:N418" si="91">D174+D224+D278+D330-D353-D400</f>
        <v>31473</v>
      </c>
      <c r="E418" s="28">
        <f t="shared" si="91"/>
        <v>35614</v>
      </c>
      <c r="F418" s="28">
        <f t="shared" si="91"/>
        <v>43761</v>
      </c>
      <c r="G418" s="28">
        <f t="shared" si="91"/>
        <v>45429</v>
      </c>
      <c r="H418" s="28">
        <f t="shared" si="91"/>
        <v>53319</v>
      </c>
      <c r="I418" s="28">
        <f t="shared" si="91"/>
        <v>49720</v>
      </c>
      <c r="J418" s="28">
        <f t="shared" si="91"/>
        <v>65612</v>
      </c>
      <c r="K418" s="28">
        <f t="shared" si="91"/>
        <v>46078</v>
      </c>
      <c r="L418" s="28">
        <f t="shared" si="91"/>
        <v>34413</v>
      </c>
      <c r="M418" s="28">
        <f t="shared" si="91"/>
        <v>28838</v>
      </c>
      <c r="N418" s="28">
        <f t="shared" si="91"/>
        <v>26727</v>
      </c>
      <c r="O418" s="28">
        <f t="shared" ref="O418:V418" si="92">O174+O224+O267+O278+O330-O353-O400</f>
        <v>21956</v>
      </c>
      <c r="P418" s="28">
        <f t="shared" si="92"/>
        <v>13183</v>
      </c>
      <c r="Q418" s="28">
        <f t="shared" si="92"/>
        <v>15850</v>
      </c>
      <c r="R418" s="28">
        <f t="shared" si="92"/>
        <v>17740</v>
      </c>
      <c r="S418" s="28">
        <f t="shared" si="92"/>
        <v>18232</v>
      </c>
      <c r="T418" s="28">
        <f t="shared" si="92"/>
        <v>18193</v>
      </c>
      <c r="U418" s="28">
        <f t="shared" si="92"/>
        <v>21001</v>
      </c>
      <c r="V418" s="28">
        <f t="shared" si="92"/>
        <v>17837</v>
      </c>
    </row>
    <row r="419" spans="1:22" ht="38.25" x14ac:dyDescent="0.2">
      <c r="A419" s="28" t="s">
        <v>407</v>
      </c>
      <c r="B419" s="28" t="s">
        <v>417</v>
      </c>
      <c r="C419" s="28">
        <f t="shared" si="89"/>
        <v>28141</v>
      </c>
      <c r="D419" s="28">
        <f t="shared" ref="D419:L419" si="93">D175+D225+D279+D331-D354-D401</f>
        <v>23839</v>
      </c>
      <c r="E419" s="28">
        <f t="shared" si="93"/>
        <v>26498</v>
      </c>
      <c r="F419" s="28">
        <f t="shared" si="93"/>
        <v>30153</v>
      </c>
      <c r="G419" s="28">
        <f t="shared" si="93"/>
        <v>30123</v>
      </c>
      <c r="H419" s="28">
        <f t="shared" si="93"/>
        <v>29397</v>
      </c>
      <c r="I419" s="28">
        <f t="shared" si="93"/>
        <v>27982</v>
      </c>
      <c r="J419" s="28">
        <f t="shared" si="93"/>
        <v>31193</v>
      </c>
      <c r="K419" s="28">
        <f t="shared" si="93"/>
        <v>30534</v>
      </c>
      <c r="L419" s="28">
        <f t="shared" si="93"/>
        <v>29457</v>
      </c>
      <c r="M419" s="28">
        <f>M175+M225+M268+M279+M331-M354-M401</f>
        <v>34803</v>
      </c>
      <c r="N419" s="28">
        <f>N175+N225+N268+N279+N331-N354-N401</f>
        <v>40064</v>
      </c>
      <c r="O419" s="28">
        <f t="shared" ref="O419:V419" si="94">O175+O225+O268+O279+O331-O354-O401</f>
        <v>42198</v>
      </c>
      <c r="P419" s="28">
        <f t="shared" si="94"/>
        <v>43712</v>
      </c>
      <c r="Q419" s="28">
        <f t="shared" si="94"/>
        <v>44364</v>
      </c>
      <c r="R419" s="28">
        <f t="shared" si="94"/>
        <v>45820</v>
      </c>
      <c r="S419" s="28">
        <f t="shared" si="94"/>
        <v>44356</v>
      </c>
      <c r="T419" s="28">
        <f t="shared" si="94"/>
        <v>44622</v>
      </c>
      <c r="U419" s="28">
        <f t="shared" si="94"/>
        <v>48091</v>
      </c>
      <c r="V419" s="28">
        <f t="shared" si="94"/>
        <v>51973</v>
      </c>
    </row>
    <row r="420" spans="1:22" ht="38.25" x14ac:dyDescent="0.2">
      <c r="A420" s="28" t="s">
        <v>407</v>
      </c>
      <c r="B420" s="28" t="s">
        <v>418</v>
      </c>
      <c r="C420" s="28">
        <f t="shared" si="89"/>
        <v>28868</v>
      </c>
      <c r="D420" s="28">
        <f t="shared" ref="D420:L420" si="95">D176+D226+D280+D332-D355-D402</f>
        <v>26553</v>
      </c>
      <c r="E420" s="28">
        <f t="shared" si="95"/>
        <v>26157</v>
      </c>
      <c r="F420" s="28">
        <f t="shared" si="95"/>
        <v>28193</v>
      </c>
      <c r="G420" s="28">
        <f t="shared" si="95"/>
        <v>28770</v>
      </c>
      <c r="H420" s="28">
        <f t="shared" si="95"/>
        <v>27232</v>
      </c>
      <c r="I420" s="28">
        <f t="shared" si="95"/>
        <v>27999</v>
      </c>
      <c r="J420" s="28">
        <f t="shared" si="95"/>
        <v>25612</v>
      </c>
      <c r="K420" s="28">
        <f t="shared" si="95"/>
        <v>24301</v>
      </c>
      <c r="L420" s="28">
        <f t="shared" si="95"/>
        <v>24160</v>
      </c>
      <c r="M420" s="28">
        <f t="shared" ref="M420:V420" si="96">M176+M226+M280+M332-M355-M402</f>
        <v>25878</v>
      </c>
      <c r="N420" s="28">
        <f t="shared" si="96"/>
        <v>26834</v>
      </c>
      <c r="O420" s="28">
        <f t="shared" si="96"/>
        <v>26701</v>
      </c>
      <c r="P420" s="28">
        <f t="shared" si="96"/>
        <v>23096</v>
      </c>
      <c r="Q420" s="28">
        <f t="shared" si="96"/>
        <v>22528</v>
      </c>
      <c r="R420" s="28">
        <f t="shared" si="96"/>
        <v>23156</v>
      </c>
      <c r="S420" s="28">
        <f t="shared" si="96"/>
        <v>21464</v>
      </c>
      <c r="T420" s="28">
        <f t="shared" si="96"/>
        <v>23217</v>
      </c>
      <c r="U420" s="28">
        <f t="shared" si="96"/>
        <v>24368</v>
      </c>
      <c r="V420" s="28">
        <f t="shared" si="96"/>
        <v>23185</v>
      </c>
    </row>
    <row r="421" spans="1:22" ht="38.25" x14ac:dyDescent="0.2">
      <c r="A421" s="28" t="s">
        <v>407</v>
      </c>
      <c r="B421" s="28" t="s">
        <v>419</v>
      </c>
      <c r="C421" s="28">
        <f t="shared" si="89"/>
        <v>56139</v>
      </c>
      <c r="D421" s="28">
        <f t="shared" ref="D421:L421" si="97">D177+D227+D281+D333-D356-D403</f>
        <v>87608</v>
      </c>
      <c r="E421" s="28">
        <f t="shared" si="97"/>
        <v>85857</v>
      </c>
      <c r="F421" s="28">
        <f t="shared" si="97"/>
        <v>61809</v>
      </c>
      <c r="G421" s="28">
        <f t="shared" si="97"/>
        <v>50423</v>
      </c>
      <c r="H421" s="28">
        <f t="shared" si="97"/>
        <v>36795</v>
      </c>
      <c r="I421" s="28">
        <f t="shared" si="97"/>
        <v>30024</v>
      </c>
      <c r="J421" s="28">
        <f t="shared" si="97"/>
        <v>29435</v>
      </c>
      <c r="K421" s="28">
        <f t="shared" si="97"/>
        <v>30002</v>
      </c>
      <c r="L421" s="28">
        <f t="shared" si="97"/>
        <v>27359</v>
      </c>
      <c r="M421" s="28">
        <f t="shared" ref="M421:V421" si="98">M177+M227+M281+M333-M356-M403</f>
        <v>22415</v>
      </c>
      <c r="N421" s="28">
        <f t="shared" si="98"/>
        <v>18827</v>
      </c>
      <c r="O421" s="28">
        <f t="shared" si="98"/>
        <v>21978</v>
      </c>
      <c r="P421" s="28">
        <f t="shared" si="98"/>
        <v>25366</v>
      </c>
      <c r="Q421" s="28">
        <f t="shared" si="98"/>
        <v>25522</v>
      </c>
      <c r="R421" s="28">
        <f t="shared" si="98"/>
        <v>29475</v>
      </c>
      <c r="S421" s="28">
        <f t="shared" si="98"/>
        <v>30418</v>
      </c>
      <c r="T421" s="28">
        <f t="shared" si="98"/>
        <v>30462</v>
      </c>
      <c r="U421" s="28">
        <f t="shared" si="98"/>
        <v>27587</v>
      </c>
      <c r="V421" s="28">
        <f t="shared" si="98"/>
        <v>25437</v>
      </c>
    </row>
    <row r="422" spans="1:22" ht="51" x14ac:dyDescent="0.2">
      <c r="A422" s="28" t="s">
        <v>407</v>
      </c>
      <c r="B422" s="28" t="s">
        <v>420</v>
      </c>
      <c r="C422" s="28">
        <f t="shared" si="89"/>
        <v>52728</v>
      </c>
      <c r="D422" s="28">
        <f t="shared" ref="D422:L422" si="99">D178+D228+D282+D334-D357-D404</f>
        <v>57981</v>
      </c>
      <c r="E422" s="28">
        <f t="shared" si="99"/>
        <v>65411</v>
      </c>
      <c r="F422" s="28">
        <f t="shared" si="99"/>
        <v>72359</v>
      </c>
      <c r="G422" s="28">
        <f t="shared" si="99"/>
        <v>81383</v>
      </c>
      <c r="H422" s="28">
        <f t="shared" si="99"/>
        <v>88814</v>
      </c>
      <c r="I422" s="28">
        <f t="shared" si="99"/>
        <v>94678</v>
      </c>
      <c r="J422" s="28">
        <f t="shared" si="99"/>
        <v>97974</v>
      </c>
      <c r="K422" s="28">
        <f t="shared" si="99"/>
        <v>99355</v>
      </c>
      <c r="L422" s="28">
        <f t="shared" si="99"/>
        <v>101507</v>
      </c>
      <c r="M422" s="28">
        <f t="shared" ref="M422:V422" si="100">M178+M228+M282+M334-M357-M404</f>
        <v>109700</v>
      </c>
      <c r="N422" s="28">
        <f t="shared" si="100"/>
        <v>124050</v>
      </c>
      <c r="O422" s="28">
        <f t="shared" si="100"/>
        <v>138410</v>
      </c>
      <c r="P422" s="28">
        <f t="shared" si="100"/>
        <v>157556</v>
      </c>
      <c r="Q422" s="28">
        <f t="shared" si="100"/>
        <v>171546</v>
      </c>
      <c r="R422" s="28">
        <f t="shared" si="100"/>
        <v>172045</v>
      </c>
      <c r="S422" s="28">
        <f t="shared" si="100"/>
        <v>170764</v>
      </c>
      <c r="T422" s="28">
        <f t="shared" si="100"/>
        <v>178187</v>
      </c>
      <c r="U422" s="28">
        <f t="shared" si="100"/>
        <v>185689</v>
      </c>
      <c r="V422" s="28">
        <f t="shared" si="100"/>
        <v>191249</v>
      </c>
    </row>
    <row r="423" spans="1:22" ht="51" x14ac:dyDescent="0.2">
      <c r="A423" s="28" t="s">
        <v>407</v>
      </c>
      <c r="B423" s="28" t="s">
        <v>421</v>
      </c>
      <c r="C423" s="28">
        <f t="shared" si="89"/>
        <v>9756</v>
      </c>
      <c r="D423" s="28">
        <f t="shared" ref="D423:L423" si="101">D179+D229+D283+D335-D358-D405</f>
        <v>11600</v>
      </c>
      <c r="E423" s="28">
        <f t="shared" si="101"/>
        <v>11373</v>
      </c>
      <c r="F423" s="28">
        <f t="shared" si="101"/>
        <v>10789</v>
      </c>
      <c r="G423" s="28">
        <f t="shared" si="101"/>
        <v>8085</v>
      </c>
      <c r="H423" s="28">
        <f t="shared" si="101"/>
        <v>8441</v>
      </c>
      <c r="I423" s="28">
        <f t="shared" si="101"/>
        <v>8923</v>
      </c>
      <c r="J423" s="28">
        <f t="shared" si="101"/>
        <v>7617</v>
      </c>
      <c r="K423" s="28">
        <f t="shared" si="101"/>
        <v>7967</v>
      </c>
      <c r="L423" s="28">
        <f t="shared" si="101"/>
        <v>9557</v>
      </c>
      <c r="M423" s="28">
        <f t="shared" ref="M423:V423" si="102">M179+M229+M283+M335-M358-M405</f>
        <v>9813</v>
      </c>
      <c r="N423" s="28">
        <f t="shared" si="102"/>
        <v>18242</v>
      </c>
      <c r="O423" s="28">
        <f t="shared" si="102"/>
        <v>42584</v>
      </c>
      <c r="P423" s="28">
        <f t="shared" si="102"/>
        <v>44446</v>
      </c>
      <c r="Q423" s="28">
        <f t="shared" si="102"/>
        <v>48221</v>
      </c>
      <c r="R423" s="28">
        <f t="shared" si="102"/>
        <v>47272</v>
      </c>
      <c r="S423" s="28">
        <f t="shared" si="102"/>
        <v>42548</v>
      </c>
      <c r="T423" s="28">
        <f t="shared" si="102"/>
        <v>42793</v>
      </c>
      <c r="U423" s="28">
        <f t="shared" si="102"/>
        <v>45527</v>
      </c>
      <c r="V423" s="28">
        <f t="shared" si="102"/>
        <v>45958</v>
      </c>
    </row>
    <row r="424" spans="1:22" ht="38.25" x14ac:dyDescent="0.2">
      <c r="A424" s="28" t="s">
        <v>407</v>
      </c>
      <c r="B424" s="28" t="s">
        <v>422</v>
      </c>
      <c r="C424" s="28">
        <f t="shared" si="89"/>
        <v>1557</v>
      </c>
      <c r="D424" s="28">
        <f t="shared" ref="D424:L424" si="103">D180+D230+D284+D336-D359-D406</f>
        <v>2360</v>
      </c>
      <c r="E424" s="28">
        <f t="shared" si="103"/>
        <v>2940</v>
      </c>
      <c r="F424" s="28">
        <f t="shared" si="103"/>
        <v>3158</v>
      </c>
      <c r="G424" s="28">
        <f t="shared" si="103"/>
        <v>3249</v>
      </c>
      <c r="H424" s="28">
        <f t="shared" si="103"/>
        <v>2880</v>
      </c>
      <c r="I424" s="28">
        <f t="shared" si="103"/>
        <v>3070</v>
      </c>
      <c r="J424" s="28">
        <f t="shared" si="103"/>
        <v>3683</v>
      </c>
      <c r="K424" s="28">
        <f t="shared" si="103"/>
        <v>4035</v>
      </c>
      <c r="L424" s="28">
        <f t="shared" si="103"/>
        <v>3813</v>
      </c>
      <c r="M424" s="28">
        <f t="shared" ref="M424:V424" si="104">M180+M230+M284+M336-M359-M406</f>
        <v>2167</v>
      </c>
      <c r="N424" s="28">
        <f t="shared" si="104"/>
        <v>3074</v>
      </c>
      <c r="O424" s="28">
        <f t="shared" si="104"/>
        <v>3131</v>
      </c>
      <c r="P424" s="28">
        <f t="shared" si="104"/>
        <v>3124</v>
      </c>
      <c r="Q424" s="28">
        <f t="shared" si="104"/>
        <v>3111</v>
      </c>
      <c r="R424" s="28">
        <f t="shared" si="104"/>
        <v>3168</v>
      </c>
      <c r="S424" s="28">
        <f t="shared" si="104"/>
        <v>3497</v>
      </c>
      <c r="T424" s="28">
        <f t="shared" si="104"/>
        <v>3826</v>
      </c>
      <c r="U424" s="28">
        <f t="shared" si="104"/>
        <v>4139</v>
      </c>
      <c r="V424" s="28">
        <f t="shared" si="104"/>
        <v>4857</v>
      </c>
    </row>
    <row r="425" spans="1:22" s="5" customFormat="1" ht="38.25" x14ac:dyDescent="0.2">
      <c r="A425" s="28" t="s">
        <v>407</v>
      </c>
      <c r="B425" s="28" t="s">
        <v>423</v>
      </c>
      <c r="C425" s="28">
        <f t="shared" ref="C425:V425" si="105">SUM(C426:C428)</f>
        <v>87826</v>
      </c>
      <c r="D425" s="28">
        <f t="shared" si="105"/>
        <v>95196</v>
      </c>
      <c r="E425" s="28">
        <f t="shared" si="105"/>
        <v>101969</v>
      </c>
      <c r="F425" s="28">
        <f t="shared" si="105"/>
        <v>114652</v>
      </c>
      <c r="G425" s="28">
        <f t="shared" si="105"/>
        <v>105637</v>
      </c>
      <c r="H425" s="28">
        <f t="shared" si="105"/>
        <v>93158</v>
      </c>
      <c r="I425" s="28">
        <f t="shared" si="105"/>
        <v>84686</v>
      </c>
      <c r="J425" s="28">
        <f t="shared" si="105"/>
        <v>89031</v>
      </c>
      <c r="K425" s="28">
        <f t="shared" si="105"/>
        <v>107145</v>
      </c>
      <c r="L425" s="28">
        <f t="shared" si="105"/>
        <v>130988</v>
      </c>
      <c r="M425" s="28">
        <f t="shared" si="105"/>
        <v>143427</v>
      </c>
      <c r="N425" s="28">
        <f t="shared" si="105"/>
        <v>144170</v>
      </c>
      <c r="O425" s="28">
        <f t="shared" si="105"/>
        <v>130103</v>
      </c>
      <c r="P425" s="28">
        <f t="shared" si="105"/>
        <v>126477</v>
      </c>
      <c r="Q425" s="28">
        <f t="shared" si="105"/>
        <v>115775</v>
      </c>
      <c r="R425" s="28">
        <f t="shared" si="105"/>
        <v>109968</v>
      </c>
      <c r="S425" s="28">
        <f t="shared" si="105"/>
        <v>105506</v>
      </c>
      <c r="T425" s="28">
        <f t="shared" si="105"/>
        <v>114377</v>
      </c>
      <c r="U425" s="28">
        <f t="shared" si="105"/>
        <v>127377</v>
      </c>
      <c r="V425" s="28">
        <f t="shared" si="105"/>
        <v>132431</v>
      </c>
    </row>
    <row r="426" spans="1:22" ht="38.25" x14ac:dyDescent="0.2">
      <c r="A426" s="28" t="s">
        <v>407</v>
      </c>
      <c r="B426" s="28" t="s">
        <v>424</v>
      </c>
      <c r="C426" s="28">
        <f t="shared" ref="C426:V426" si="106">C182+C232+C286+C338-C361</f>
        <v>8544</v>
      </c>
      <c r="D426" s="28">
        <f t="shared" si="106"/>
        <v>9079</v>
      </c>
      <c r="E426" s="28">
        <f t="shared" si="106"/>
        <v>10262</v>
      </c>
      <c r="F426" s="28">
        <f t="shared" si="106"/>
        <v>10508</v>
      </c>
      <c r="G426" s="28">
        <f t="shared" si="106"/>
        <v>10556</v>
      </c>
      <c r="H426" s="28">
        <f t="shared" si="106"/>
        <v>12054</v>
      </c>
      <c r="I426" s="28">
        <f t="shared" si="106"/>
        <v>12529</v>
      </c>
      <c r="J426" s="28">
        <f t="shared" si="106"/>
        <v>11830</v>
      </c>
      <c r="K426" s="28">
        <f t="shared" si="106"/>
        <v>11550</v>
      </c>
      <c r="L426" s="28">
        <f t="shared" si="106"/>
        <v>13366</v>
      </c>
      <c r="M426" s="28">
        <f t="shared" si="106"/>
        <v>16461</v>
      </c>
      <c r="N426" s="28">
        <f t="shared" si="106"/>
        <v>18461</v>
      </c>
      <c r="O426" s="28">
        <f t="shared" si="106"/>
        <v>21740</v>
      </c>
      <c r="P426" s="28">
        <f t="shared" si="106"/>
        <v>24703</v>
      </c>
      <c r="Q426" s="28">
        <f t="shared" si="106"/>
        <v>26907</v>
      </c>
      <c r="R426" s="28">
        <f t="shared" si="106"/>
        <v>29845</v>
      </c>
      <c r="S426" s="28">
        <f t="shared" si="106"/>
        <v>31785</v>
      </c>
      <c r="T426" s="28">
        <f t="shared" si="106"/>
        <v>32942</v>
      </c>
      <c r="U426" s="28">
        <f t="shared" si="106"/>
        <v>30403</v>
      </c>
      <c r="V426" s="28">
        <f t="shared" si="106"/>
        <v>30039</v>
      </c>
    </row>
    <row r="427" spans="1:22" ht="38.25" x14ac:dyDescent="0.2">
      <c r="A427" s="28" t="s">
        <v>407</v>
      </c>
      <c r="B427" s="28" t="s">
        <v>425</v>
      </c>
      <c r="C427" s="28">
        <f t="shared" ref="C427:V427" si="107">C183+C233+C287+C339-C362</f>
        <v>15845</v>
      </c>
      <c r="D427" s="28">
        <f t="shared" si="107"/>
        <v>19858</v>
      </c>
      <c r="E427" s="28">
        <f t="shared" si="107"/>
        <v>20311</v>
      </c>
      <c r="F427" s="28">
        <f t="shared" si="107"/>
        <v>21193</v>
      </c>
      <c r="G427" s="28">
        <f t="shared" si="107"/>
        <v>26379</v>
      </c>
      <c r="H427" s="28">
        <f t="shared" si="107"/>
        <v>27336</v>
      </c>
      <c r="I427" s="28">
        <f t="shared" si="107"/>
        <v>26257</v>
      </c>
      <c r="J427" s="28">
        <f t="shared" si="107"/>
        <v>24941</v>
      </c>
      <c r="K427" s="28">
        <f t="shared" si="107"/>
        <v>28687</v>
      </c>
      <c r="L427" s="28">
        <f t="shared" si="107"/>
        <v>32281</v>
      </c>
      <c r="M427" s="28">
        <f t="shared" si="107"/>
        <v>38958</v>
      </c>
      <c r="N427" s="28">
        <f t="shared" si="107"/>
        <v>46908</v>
      </c>
      <c r="O427" s="28">
        <f t="shared" si="107"/>
        <v>43761</v>
      </c>
      <c r="P427" s="28">
        <f t="shared" si="107"/>
        <v>40173</v>
      </c>
      <c r="Q427" s="28">
        <f t="shared" si="107"/>
        <v>36428</v>
      </c>
      <c r="R427" s="28">
        <f t="shared" si="107"/>
        <v>34293</v>
      </c>
      <c r="S427" s="28">
        <f t="shared" si="107"/>
        <v>26091</v>
      </c>
      <c r="T427" s="28">
        <f t="shared" si="107"/>
        <v>25853</v>
      </c>
      <c r="U427" s="28">
        <f t="shared" si="107"/>
        <v>29594</v>
      </c>
      <c r="V427" s="28">
        <f t="shared" si="107"/>
        <v>30048</v>
      </c>
    </row>
    <row r="428" spans="1:22" ht="38.25" x14ac:dyDescent="0.2">
      <c r="A428" s="28" t="s">
        <v>407</v>
      </c>
      <c r="B428" s="28" t="s">
        <v>426</v>
      </c>
      <c r="C428" s="28">
        <f t="shared" ref="C428:V428" si="108">C184+C234+C288+C340-C363</f>
        <v>63437</v>
      </c>
      <c r="D428" s="28">
        <f t="shared" si="108"/>
        <v>66259</v>
      </c>
      <c r="E428" s="28">
        <f t="shared" si="108"/>
        <v>71396</v>
      </c>
      <c r="F428" s="28">
        <f t="shared" si="108"/>
        <v>82951</v>
      </c>
      <c r="G428" s="28">
        <f t="shared" si="108"/>
        <v>68702</v>
      </c>
      <c r="H428" s="28">
        <f t="shared" si="108"/>
        <v>53768</v>
      </c>
      <c r="I428" s="28">
        <f t="shared" si="108"/>
        <v>45900</v>
      </c>
      <c r="J428" s="28">
        <f t="shared" si="108"/>
        <v>52260</v>
      </c>
      <c r="K428" s="28">
        <f t="shared" si="108"/>
        <v>66908</v>
      </c>
      <c r="L428" s="28">
        <f t="shared" si="108"/>
        <v>85341</v>
      </c>
      <c r="M428" s="28">
        <f t="shared" si="108"/>
        <v>88008</v>
      </c>
      <c r="N428" s="28">
        <f t="shared" si="108"/>
        <v>78801</v>
      </c>
      <c r="O428" s="28">
        <f t="shared" si="108"/>
        <v>64602</v>
      </c>
      <c r="P428" s="28">
        <f t="shared" si="108"/>
        <v>61601</v>
      </c>
      <c r="Q428" s="28">
        <f t="shared" si="108"/>
        <v>52440</v>
      </c>
      <c r="R428" s="28">
        <f t="shared" si="108"/>
        <v>45830</v>
      </c>
      <c r="S428" s="28">
        <f t="shared" si="108"/>
        <v>47630</v>
      </c>
      <c r="T428" s="28">
        <f t="shared" si="108"/>
        <v>55582</v>
      </c>
      <c r="U428" s="28">
        <f t="shared" si="108"/>
        <v>67380</v>
      </c>
      <c r="V428" s="28">
        <f t="shared" si="108"/>
        <v>72344</v>
      </c>
    </row>
    <row r="429" spans="1:22" s="5" customFormat="1" ht="38.25" x14ac:dyDescent="0.2">
      <c r="A429" s="28" t="s">
        <v>407</v>
      </c>
      <c r="B429" s="28" t="s">
        <v>427</v>
      </c>
      <c r="C429" s="28">
        <f t="shared" ref="C429:V429" si="109">SUM(C430:C431)</f>
        <v>5182</v>
      </c>
      <c r="D429" s="28">
        <f t="shared" si="109"/>
        <v>6229</v>
      </c>
      <c r="E429" s="28">
        <f t="shared" si="109"/>
        <v>6755</v>
      </c>
      <c r="F429" s="28">
        <f t="shared" si="109"/>
        <v>6716</v>
      </c>
      <c r="G429" s="28">
        <f t="shared" si="109"/>
        <v>5593</v>
      </c>
      <c r="H429" s="28">
        <f t="shared" si="109"/>
        <v>5074</v>
      </c>
      <c r="I429" s="28">
        <f t="shared" si="109"/>
        <v>5021</v>
      </c>
      <c r="J429" s="28">
        <f t="shared" si="109"/>
        <v>5702</v>
      </c>
      <c r="K429" s="28">
        <f t="shared" si="109"/>
        <v>6722</v>
      </c>
      <c r="L429" s="28">
        <f t="shared" si="109"/>
        <v>8407</v>
      </c>
      <c r="M429" s="28">
        <f t="shared" si="109"/>
        <v>9773</v>
      </c>
      <c r="N429" s="28">
        <f t="shared" si="109"/>
        <v>12039</v>
      </c>
      <c r="O429" s="28">
        <f t="shared" si="109"/>
        <v>12161</v>
      </c>
      <c r="P429" s="28">
        <f t="shared" si="109"/>
        <v>12369</v>
      </c>
      <c r="Q429" s="28">
        <f t="shared" si="109"/>
        <v>12210</v>
      </c>
      <c r="R429" s="28">
        <f t="shared" si="109"/>
        <v>10730</v>
      </c>
      <c r="S429" s="28">
        <f t="shared" si="109"/>
        <v>9782</v>
      </c>
      <c r="T429" s="28">
        <f t="shared" si="109"/>
        <v>9040</v>
      </c>
      <c r="U429" s="28">
        <f t="shared" si="109"/>
        <v>8292</v>
      </c>
      <c r="V429" s="28">
        <f t="shared" si="109"/>
        <v>7962</v>
      </c>
    </row>
    <row r="430" spans="1:22" ht="51" x14ac:dyDescent="0.2">
      <c r="A430" s="28" t="s">
        <v>407</v>
      </c>
      <c r="B430" s="28" t="s">
        <v>428</v>
      </c>
      <c r="C430" s="28">
        <f t="shared" ref="C430:V430" si="110">C186+C236+C290+C342-C365</f>
        <v>2603</v>
      </c>
      <c r="D430" s="28">
        <f t="shared" si="110"/>
        <v>3476</v>
      </c>
      <c r="E430" s="28">
        <f t="shared" si="110"/>
        <v>4469</v>
      </c>
      <c r="F430" s="28">
        <f t="shared" si="110"/>
        <v>4348</v>
      </c>
      <c r="G430" s="28">
        <f t="shared" si="110"/>
        <v>4171</v>
      </c>
      <c r="H430" s="28">
        <f t="shared" si="110"/>
        <v>3953</v>
      </c>
      <c r="I430" s="28">
        <f t="shared" si="110"/>
        <v>3994</v>
      </c>
      <c r="J430" s="28">
        <f t="shared" si="110"/>
        <v>4353</v>
      </c>
      <c r="K430" s="28">
        <f t="shared" si="110"/>
        <v>5087</v>
      </c>
      <c r="L430" s="28">
        <f t="shared" si="110"/>
        <v>5711</v>
      </c>
      <c r="M430" s="28">
        <f t="shared" si="110"/>
        <v>6894</v>
      </c>
      <c r="N430" s="28">
        <f t="shared" si="110"/>
        <v>9634</v>
      </c>
      <c r="O430" s="28">
        <f t="shared" si="110"/>
        <v>10328</v>
      </c>
      <c r="P430" s="28">
        <f t="shared" si="110"/>
        <v>10754</v>
      </c>
      <c r="Q430" s="28">
        <f t="shared" si="110"/>
        <v>10814</v>
      </c>
      <c r="R430" s="28">
        <f t="shared" si="110"/>
        <v>9725</v>
      </c>
      <c r="S430" s="28">
        <f t="shared" si="110"/>
        <v>8533</v>
      </c>
      <c r="T430" s="28">
        <f t="shared" si="110"/>
        <v>7757</v>
      </c>
      <c r="U430" s="28">
        <f t="shared" si="110"/>
        <v>6763</v>
      </c>
      <c r="V430" s="28">
        <f t="shared" si="110"/>
        <v>6205</v>
      </c>
    </row>
    <row r="431" spans="1:22" ht="51" x14ac:dyDescent="0.2">
      <c r="A431" s="28" t="s">
        <v>407</v>
      </c>
      <c r="B431" s="28" t="s">
        <v>429</v>
      </c>
      <c r="C431" s="28">
        <f t="shared" ref="C431:V431" si="111">C187+C237+C291+C343-C366</f>
        <v>2579</v>
      </c>
      <c r="D431" s="28">
        <f t="shared" si="111"/>
        <v>2753</v>
      </c>
      <c r="E431" s="28">
        <f t="shared" si="111"/>
        <v>2286</v>
      </c>
      <c r="F431" s="28">
        <f t="shared" si="111"/>
        <v>2368</v>
      </c>
      <c r="G431" s="28">
        <f t="shared" si="111"/>
        <v>1422</v>
      </c>
      <c r="H431" s="28">
        <f t="shared" si="111"/>
        <v>1121</v>
      </c>
      <c r="I431" s="28">
        <f t="shared" si="111"/>
        <v>1027</v>
      </c>
      <c r="J431" s="28">
        <f t="shared" si="111"/>
        <v>1349</v>
      </c>
      <c r="K431" s="28">
        <f t="shared" si="111"/>
        <v>1635</v>
      </c>
      <c r="L431" s="28">
        <f t="shared" si="111"/>
        <v>2696</v>
      </c>
      <c r="M431" s="28">
        <f t="shared" si="111"/>
        <v>2879</v>
      </c>
      <c r="N431" s="28">
        <f t="shared" si="111"/>
        <v>2405</v>
      </c>
      <c r="O431" s="28">
        <f t="shared" si="111"/>
        <v>1833</v>
      </c>
      <c r="P431" s="28">
        <f t="shared" si="111"/>
        <v>1615</v>
      </c>
      <c r="Q431" s="28">
        <f t="shared" si="111"/>
        <v>1396</v>
      </c>
      <c r="R431" s="28">
        <f t="shared" si="111"/>
        <v>1005</v>
      </c>
      <c r="S431" s="28">
        <f t="shared" si="111"/>
        <v>1249</v>
      </c>
      <c r="T431" s="28">
        <f t="shared" si="111"/>
        <v>1283</v>
      </c>
      <c r="U431" s="28">
        <f t="shared" si="111"/>
        <v>1529</v>
      </c>
      <c r="V431" s="28">
        <f t="shared" si="111"/>
        <v>1757</v>
      </c>
    </row>
    <row r="432" spans="1:22" ht="51" x14ac:dyDescent="0.2">
      <c r="A432" s="28" t="s">
        <v>407</v>
      </c>
      <c r="B432" s="28" t="s">
        <v>430</v>
      </c>
      <c r="C432" s="28">
        <f t="shared" ref="C432:V432" si="112">C433</f>
        <v>1601</v>
      </c>
      <c r="D432" s="28">
        <f t="shared" si="112"/>
        <v>2100</v>
      </c>
      <c r="E432" s="28">
        <f t="shared" si="112"/>
        <v>4184</v>
      </c>
      <c r="F432" s="28">
        <f t="shared" si="112"/>
        <v>3067</v>
      </c>
      <c r="G432" s="28">
        <f t="shared" si="112"/>
        <v>2792</v>
      </c>
      <c r="H432" s="28">
        <f t="shared" si="112"/>
        <v>3087</v>
      </c>
      <c r="I432" s="28">
        <f t="shared" si="112"/>
        <v>1930</v>
      </c>
      <c r="J432" s="28">
        <f t="shared" si="112"/>
        <v>1772</v>
      </c>
      <c r="K432" s="28">
        <f t="shared" si="112"/>
        <v>2642</v>
      </c>
      <c r="L432" s="28">
        <f t="shared" si="112"/>
        <v>3107</v>
      </c>
      <c r="M432" s="28">
        <f t="shared" si="112"/>
        <v>1512</v>
      </c>
      <c r="N432" s="28">
        <f t="shared" si="112"/>
        <v>1520</v>
      </c>
      <c r="O432" s="28">
        <f t="shared" si="112"/>
        <v>1741</v>
      </c>
      <c r="P432" s="28">
        <f t="shared" si="112"/>
        <v>1001</v>
      </c>
      <c r="Q432" s="28">
        <f t="shared" si="112"/>
        <v>1070</v>
      </c>
      <c r="R432" s="28">
        <f t="shared" si="112"/>
        <v>1114</v>
      </c>
      <c r="S432" s="28">
        <f t="shared" si="112"/>
        <v>1344</v>
      </c>
      <c r="T432" s="28">
        <f t="shared" si="112"/>
        <v>1718</v>
      </c>
      <c r="U432" s="28">
        <f t="shared" si="112"/>
        <v>2306</v>
      </c>
      <c r="V432" s="28">
        <f t="shared" si="112"/>
        <v>3011</v>
      </c>
    </row>
    <row r="433" spans="1:22" ht="38.25" x14ac:dyDescent="0.2">
      <c r="A433" s="28" t="s">
        <v>407</v>
      </c>
      <c r="B433" s="28" t="s">
        <v>431</v>
      </c>
      <c r="C433" s="28">
        <f t="shared" ref="C433:V433" si="113">C189+C239+C293-C368</f>
        <v>1601</v>
      </c>
      <c r="D433" s="28">
        <f t="shared" si="113"/>
        <v>2100</v>
      </c>
      <c r="E433" s="28">
        <f t="shared" si="113"/>
        <v>4184</v>
      </c>
      <c r="F433" s="28">
        <f t="shared" si="113"/>
        <v>3067</v>
      </c>
      <c r="G433" s="28">
        <f t="shared" si="113"/>
        <v>2792</v>
      </c>
      <c r="H433" s="28">
        <f t="shared" si="113"/>
        <v>3087</v>
      </c>
      <c r="I433" s="28">
        <f t="shared" si="113"/>
        <v>1930</v>
      </c>
      <c r="J433" s="28">
        <f t="shared" si="113"/>
        <v>1772</v>
      </c>
      <c r="K433" s="28">
        <f t="shared" si="113"/>
        <v>2642</v>
      </c>
      <c r="L433" s="28">
        <f t="shared" si="113"/>
        <v>3107</v>
      </c>
      <c r="M433" s="28">
        <f t="shared" si="113"/>
        <v>1512</v>
      </c>
      <c r="N433" s="28">
        <f t="shared" si="113"/>
        <v>1520</v>
      </c>
      <c r="O433" s="28">
        <f t="shared" si="113"/>
        <v>1741</v>
      </c>
      <c r="P433" s="28">
        <f t="shared" si="113"/>
        <v>1001</v>
      </c>
      <c r="Q433" s="28">
        <f t="shared" si="113"/>
        <v>1070</v>
      </c>
      <c r="R433" s="28">
        <f t="shared" si="113"/>
        <v>1114</v>
      </c>
      <c r="S433" s="28">
        <f t="shared" si="113"/>
        <v>1344</v>
      </c>
      <c r="T433" s="28">
        <f t="shared" si="113"/>
        <v>1718</v>
      </c>
      <c r="U433" s="28">
        <f t="shared" si="113"/>
        <v>2306</v>
      </c>
      <c r="V433" s="28">
        <f t="shared" si="113"/>
        <v>3011</v>
      </c>
    </row>
    <row r="434" spans="1:22" s="5" customFormat="1" ht="38.25" x14ac:dyDescent="0.2">
      <c r="A434" s="28" t="s">
        <v>407</v>
      </c>
      <c r="B434" s="28" t="s">
        <v>432</v>
      </c>
      <c r="C434" s="28">
        <f t="shared" ref="C434:V434" si="114">SUM(C435:C445)</f>
        <v>7723</v>
      </c>
      <c r="D434" s="28">
        <f t="shared" si="114"/>
        <v>9763</v>
      </c>
      <c r="E434" s="28">
        <f t="shared" si="114"/>
        <v>8180</v>
      </c>
      <c r="F434" s="28">
        <f t="shared" si="114"/>
        <v>7485</v>
      </c>
      <c r="G434" s="28">
        <f t="shared" si="114"/>
        <v>8178</v>
      </c>
      <c r="H434" s="28">
        <f t="shared" si="114"/>
        <v>9048</v>
      </c>
      <c r="I434" s="28">
        <f t="shared" si="114"/>
        <v>6531</v>
      </c>
      <c r="J434" s="28">
        <f t="shared" si="114"/>
        <v>6509</v>
      </c>
      <c r="K434" s="28">
        <f t="shared" si="114"/>
        <v>5165</v>
      </c>
      <c r="L434" s="28">
        <f t="shared" si="114"/>
        <v>4512</v>
      </c>
      <c r="M434" s="28">
        <f t="shared" si="114"/>
        <v>4170</v>
      </c>
      <c r="N434" s="28">
        <f t="shared" si="114"/>
        <v>4010</v>
      </c>
      <c r="O434" s="28">
        <f t="shared" si="114"/>
        <v>4556</v>
      </c>
      <c r="P434" s="28">
        <f t="shared" si="114"/>
        <v>5596</v>
      </c>
      <c r="Q434" s="28">
        <f t="shared" si="114"/>
        <v>7015</v>
      </c>
      <c r="R434" s="28">
        <f t="shared" si="114"/>
        <v>7966</v>
      </c>
      <c r="S434" s="28">
        <f t="shared" si="114"/>
        <v>7733</v>
      </c>
      <c r="T434" s="28">
        <f t="shared" si="114"/>
        <v>7918</v>
      </c>
      <c r="U434" s="28">
        <f t="shared" si="114"/>
        <v>6019</v>
      </c>
      <c r="V434" s="28">
        <f t="shared" si="114"/>
        <v>5683</v>
      </c>
    </row>
    <row r="435" spans="1:22" ht="38.25" x14ac:dyDescent="0.2">
      <c r="A435" s="28" t="s">
        <v>407</v>
      </c>
      <c r="B435" s="28" t="s">
        <v>433</v>
      </c>
      <c r="C435" s="28">
        <f t="shared" ref="C435:V435" si="115">C191+C241+C295-C370</f>
        <v>0</v>
      </c>
      <c r="D435" s="28">
        <f t="shared" si="115"/>
        <v>0</v>
      </c>
      <c r="E435" s="28">
        <f t="shared" si="115"/>
        <v>0</v>
      </c>
      <c r="F435" s="28">
        <f t="shared" si="115"/>
        <v>0</v>
      </c>
      <c r="G435" s="28">
        <f t="shared" si="115"/>
        <v>0</v>
      </c>
      <c r="H435" s="28">
        <f t="shared" si="115"/>
        <v>0</v>
      </c>
      <c r="I435" s="28">
        <f t="shared" si="115"/>
        <v>0</v>
      </c>
      <c r="J435" s="28">
        <f t="shared" si="115"/>
        <v>0</v>
      </c>
      <c r="K435" s="28">
        <f t="shared" si="115"/>
        <v>0</v>
      </c>
      <c r="L435" s="28">
        <f t="shared" si="115"/>
        <v>0</v>
      </c>
      <c r="M435" s="28">
        <f t="shared" si="115"/>
        <v>0</v>
      </c>
      <c r="N435" s="28">
        <f t="shared" si="115"/>
        <v>0</v>
      </c>
      <c r="O435" s="28">
        <f t="shared" si="115"/>
        <v>947</v>
      </c>
      <c r="P435" s="28">
        <f t="shared" si="115"/>
        <v>912</v>
      </c>
      <c r="Q435" s="28">
        <f t="shared" si="115"/>
        <v>925</v>
      </c>
      <c r="R435" s="28">
        <f t="shared" si="115"/>
        <v>1123</v>
      </c>
      <c r="S435" s="28">
        <f t="shared" si="115"/>
        <v>1010</v>
      </c>
      <c r="T435" s="28">
        <f t="shared" si="115"/>
        <v>1008</v>
      </c>
      <c r="U435" s="28">
        <f t="shared" si="115"/>
        <v>1250</v>
      </c>
      <c r="V435" s="28">
        <f t="shared" si="115"/>
        <v>1296</v>
      </c>
    </row>
    <row r="436" spans="1:22" ht="38.25" x14ac:dyDescent="0.2">
      <c r="A436" s="28" t="s">
        <v>407</v>
      </c>
      <c r="B436" s="28" t="s">
        <v>434</v>
      </c>
      <c r="C436" s="28">
        <f t="shared" ref="C436:V436" si="116">C192+C242+C296-C371</f>
        <v>0</v>
      </c>
      <c r="D436" s="28">
        <f t="shared" si="116"/>
        <v>0</v>
      </c>
      <c r="E436" s="28">
        <f t="shared" si="116"/>
        <v>0</v>
      </c>
      <c r="F436" s="28">
        <f t="shared" si="116"/>
        <v>0</v>
      </c>
      <c r="G436" s="28">
        <f t="shared" si="116"/>
        <v>0</v>
      </c>
      <c r="H436" s="28">
        <f t="shared" si="116"/>
        <v>0</v>
      </c>
      <c r="I436" s="28">
        <f t="shared" si="116"/>
        <v>0</v>
      </c>
      <c r="J436" s="28">
        <f t="shared" si="116"/>
        <v>0</v>
      </c>
      <c r="K436" s="28">
        <f t="shared" si="116"/>
        <v>0</v>
      </c>
      <c r="L436" s="28">
        <f t="shared" si="116"/>
        <v>0</v>
      </c>
      <c r="M436" s="28">
        <f t="shared" si="116"/>
        <v>0</v>
      </c>
      <c r="N436" s="28">
        <f t="shared" si="116"/>
        <v>0</v>
      </c>
      <c r="O436" s="28">
        <f t="shared" si="116"/>
        <v>73</v>
      </c>
      <c r="P436" s="28">
        <f t="shared" si="116"/>
        <v>135</v>
      </c>
      <c r="Q436" s="28">
        <f t="shared" si="116"/>
        <v>20</v>
      </c>
      <c r="R436" s="28">
        <f t="shared" si="116"/>
        <v>12</v>
      </c>
      <c r="S436" s="28">
        <f t="shared" si="116"/>
        <v>23</v>
      </c>
      <c r="T436" s="28">
        <f t="shared" si="116"/>
        <v>21</v>
      </c>
      <c r="U436" s="28">
        <f t="shared" si="116"/>
        <v>17</v>
      </c>
      <c r="V436" s="28">
        <f t="shared" si="116"/>
        <v>22</v>
      </c>
    </row>
    <row r="437" spans="1:22" ht="38.25" x14ac:dyDescent="0.2">
      <c r="A437" s="28" t="s">
        <v>407</v>
      </c>
      <c r="B437" s="28" t="s">
        <v>435</v>
      </c>
      <c r="C437" s="28">
        <f t="shared" ref="C437:V437" si="117">C193+C243+C297-C372</f>
        <v>979</v>
      </c>
      <c r="D437" s="28">
        <f t="shared" si="117"/>
        <v>910</v>
      </c>
      <c r="E437" s="28">
        <f t="shared" si="117"/>
        <v>1032</v>
      </c>
      <c r="F437" s="28">
        <f t="shared" si="117"/>
        <v>1108</v>
      </c>
      <c r="G437" s="28">
        <f t="shared" si="117"/>
        <v>896</v>
      </c>
      <c r="H437" s="28">
        <f t="shared" si="117"/>
        <v>870</v>
      </c>
      <c r="I437" s="28">
        <f t="shared" si="117"/>
        <v>775</v>
      </c>
      <c r="J437" s="28">
        <f t="shared" si="117"/>
        <v>841</v>
      </c>
      <c r="K437" s="28">
        <f t="shared" si="117"/>
        <v>953</v>
      </c>
      <c r="L437" s="28">
        <f t="shared" si="117"/>
        <v>882</v>
      </c>
      <c r="M437" s="28">
        <f t="shared" si="117"/>
        <v>798</v>
      </c>
      <c r="N437" s="28">
        <f t="shared" si="117"/>
        <v>1078</v>
      </c>
      <c r="O437" s="28">
        <f t="shared" si="117"/>
        <v>1195</v>
      </c>
      <c r="P437" s="28">
        <f t="shared" si="117"/>
        <v>1713</v>
      </c>
      <c r="Q437" s="28">
        <f t="shared" si="117"/>
        <v>1974</v>
      </c>
      <c r="R437" s="28">
        <f t="shared" si="117"/>
        <v>2434</v>
      </c>
      <c r="S437" s="28">
        <f t="shared" si="117"/>
        <v>1725</v>
      </c>
      <c r="T437" s="28">
        <f t="shared" si="117"/>
        <v>2332</v>
      </c>
      <c r="U437" s="28">
        <f t="shared" si="117"/>
        <v>2100</v>
      </c>
      <c r="V437" s="28">
        <f t="shared" si="117"/>
        <v>2207</v>
      </c>
    </row>
    <row r="438" spans="1:22" ht="38.25" x14ac:dyDescent="0.2">
      <c r="A438" s="28" t="s">
        <v>407</v>
      </c>
      <c r="B438" s="28" t="s">
        <v>436</v>
      </c>
      <c r="C438" s="28">
        <f t="shared" ref="C438:V438" si="118">C194+C244+C298-C373</f>
        <v>4408</v>
      </c>
      <c r="D438" s="28">
        <f t="shared" si="118"/>
        <v>5849</v>
      </c>
      <c r="E438" s="28">
        <f t="shared" si="118"/>
        <v>4089</v>
      </c>
      <c r="F438" s="28">
        <f t="shared" si="118"/>
        <v>2674</v>
      </c>
      <c r="G438" s="28">
        <f t="shared" si="118"/>
        <v>4410</v>
      </c>
      <c r="H438" s="28">
        <f t="shared" si="118"/>
        <v>5439</v>
      </c>
      <c r="I438" s="28">
        <f t="shared" si="118"/>
        <v>3309</v>
      </c>
      <c r="J438" s="28">
        <f t="shared" si="118"/>
        <v>2337</v>
      </c>
      <c r="K438" s="28">
        <f t="shared" si="118"/>
        <v>1889</v>
      </c>
      <c r="L438" s="28">
        <f t="shared" si="118"/>
        <v>2202</v>
      </c>
      <c r="M438" s="28">
        <f t="shared" si="118"/>
        <v>2106</v>
      </c>
      <c r="N438" s="28">
        <f t="shared" si="118"/>
        <v>1877</v>
      </c>
      <c r="O438" s="28">
        <f t="shared" si="118"/>
        <v>1663</v>
      </c>
      <c r="P438" s="28">
        <f t="shared" si="118"/>
        <v>1914</v>
      </c>
      <c r="Q438" s="28">
        <f t="shared" si="118"/>
        <v>3129</v>
      </c>
      <c r="R438" s="28">
        <f t="shared" si="118"/>
        <v>3644</v>
      </c>
      <c r="S438" s="28">
        <f t="shared" si="118"/>
        <v>4216</v>
      </c>
      <c r="T438" s="28">
        <f t="shared" si="118"/>
        <v>3720</v>
      </c>
      <c r="U438" s="28">
        <f t="shared" si="118"/>
        <v>2195</v>
      </c>
      <c r="V438" s="28">
        <f t="shared" si="118"/>
        <v>1153</v>
      </c>
    </row>
    <row r="439" spans="1:22" ht="38.25" x14ac:dyDescent="0.2">
      <c r="A439" s="28" t="s">
        <v>407</v>
      </c>
      <c r="B439" s="28" t="s">
        <v>437</v>
      </c>
      <c r="C439" s="28">
        <f t="shared" ref="C439:V439" si="119">C195+C245+C299-C374</f>
        <v>807</v>
      </c>
      <c r="D439" s="28">
        <f t="shared" si="119"/>
        <v>1148</v>
      </c>
      <c r="E439" s="28">
        <f t="shared" si="119"/>
        <v>1105</v>
      </c>
      <c r="F439" s="28">
        <f t="shared" si="119"/>
        <v>824</v>
      </c>
      <c r="G439" s="28">
        <f t="shared" si="119"/>
        <v>881</v>
      </c>
      <c r="H439" s="28">
        <f t="shared" si="119"/>
        <v>807</v>
      </c>
      <c r="I439" s="28">
        <f t="shared" si="119"/>
        <v>874</v>
      </c>
      <c r="J439" s="28">
        <f t="shared" si="119"/>
        <v>1095</v>
      </c>
      <c r="K439" s="28">
        <f t="shared" si="119"/>
        <v>942</v>
      </c>
      <c r="L439" s="28">
        <f t="shared" si="119"/>
        <v>578</v>
      </c>
      <c r="M439" s="28">
        <f t="shared" si="119"/>
        <v>323</v>
      </c>
      <c r="N439" s="28">
        <f t="shared" si="119"/>
        <v>191</v>
      </c>
      <c r="O439" s="28">
        <f t="shared" si="119"/>
        <v>218</v>
      </c>
      <c r="P439" s="28">
        <f t="shared" si="119"/>
        <v>49</v>
      </c>
      <c r="Q439" s="28">
        <f t="shared" si="119"/>
        <v>41</v>
      </c>
      <c r="R439" s="28">
        <f t="shared" si="119"/>
        <v>19</v>
      </c>
      <c r="S439" s="28">
        <f t="shared" si="119"/>
        <v>10</v>
      </c>
      <c r="T439" s="28">
        <f t="shared" si="119"/>
        <v>17</v>
      </c>
      <c r="U439" s="28">
        <f t="shared" si="119"/>
        <v>9</v>
      </c>
      <c r="V439" s="28">
        <f t="shared" si="119"/>
        <v>7</v>
      </c>
    </row>
    <row r="440" spans="1:22" ht="51" x14ac:dyDescent="0.2">
      <c r="A440" s="28" t="s">
        <v>407</v>
      </c>
      <c r="B440" s="28" t="s">
        <v>438</v>
      </c>
      <c r="C440" s="28">
        <f t="shared" ref="C440:V440" si="120">C196+C246+C300-C375</f>
        <v>0</v>
      </c>
      <c r="D440" s="28">
        <f t="shared" si="120"/>
        <v>0</v>
      </c>
      <c r="E440" s="28">
        <f t="shared" si="120"/>
        <v>0</v>
      </c>
      <c r="F440" s="28">
        <f t="shared" si="120"/>
        <v>0</v>
      </c>
      <c r="G440" s="28">
        <f t="shared" si="120"/>
        <v>0</v>
      </c>
      <c r="H440" s="28">
        <f t="shared" si="120"/>
        <v>0</v>
      </c>
      <c r="I440" s="28">
        <f t="shared" si="120"/>
        <v>0</v>
      </c>
      <c r="J440" s="28">
        <f t="shared" si="120"/>
        <v>0</v>
      </c>
      <c r="K440" s="28">
        <f t="shared" si="120"/>
        <v>0</v>
      </c>
      <c r="L440" s="28">
        <f t="shared" si="120"/>
        <v>0</v>
      </c>
      <c r="M440" s="28">
        <f t="shared" si="120"/>
        <v>64</v>
      </c>
      <c r="N440" s="28">
        <f t="shared" si="120"/>
        <v>115</v>
      </c>
      <c r="O440" s="28">
        <f t="shared" si="120"/>
        <v>48</v>
      </c>
      <c r="P440" s="28">
        <f t="shared" si="120"/>
        <v>187</v>
      </c>
      <c r="Q440" s="28">
        <f t="shared" si="120"/>
        <v>157</v>
      </c>
      <c r="R440" s="28">
        <f t="shared" si="120"/>
        <v>67</v>
      </c>
      <c r="S440" s="28">
        <f t="shared" si="120"/>
        <v>82</v>
      </c>
      <c r="T440" s="28">
        <f t="shared" si="120"/>
        <v>139</v>
      </c>
      <c r="U440" s="28">
        <f t="shared" si="120"/>
        <v>85</v>
      </c>
      <c r="V440" s="28">
        <f t="shared" si="120"/>
        <v>253</v>
      </c>
    </row>
    <row r="441" spans="1:22" ht="38.25" x14ac:dyDescent="0.2">
      <c r="A441" s="28" t="s">
        <v>407</v>
      </c>
      <c r="B441" s="28" t="s">
        <v>439</v>
      </c>
      <c r="C441" s="28">
        <f t="shared" ref="C441:V441" si="121">C197+C247+C301-C376</f>
        <v>292</v>
      </c>
      <c r="D441" s="28">
        <f t="shared" si="121"/>
        <v>247</v>
      </c>
      <c r="E441" s="28">
        <f t="shared" si="121"/>
        <v>323</v>
      </c>
      <c r="F441" s="28">
        <f t="shared" si="121"/>
        <v>474</v>
      </c>
      <c r="G441" s="28">
        <f t="shared" si="121"/>
        <v>406</v>
      </c>
      <c r="H441" s="28">
        <f t="shared" si="121"/>
        <v>447</v>
      </c>
      <c r="I441" s="28">
        <f t="shared" si="121"/>
        <v>253</v>
      </c>
      <c r="J441" s="28">
        <f t="shared" si="121"/>
        <v>316</v>
      </c>
      <c r="K441" s="28">
        <f t="shared" si="121"/>
        <v>374</v>
      </c>
      <c r="L441" s="28">
        <f t="shared" si="121"/>
        <v>592</v>
      </c>
      <c r="M441" s="28">
        <f t="shared" si="121"/>
        <v>601</v>
      </c>
      <c r="N441" s="28">
        <f t="shared" si="121"/>
        <v>417</v>
      </c>
      <c r="O441" s="28">
        <f t="shared" si="121"/>
        <v>137</v>
      </c>
      <c r="P441" s="28">
        <f t="shared" si="121"/>
        <v>238</v>
      </c>
      <c r="Q441" s="28">
        <f t="shared" si="121"/>
        <v>381</v>
      </c>
      <c r="R441" s="28">
        <f t="shared" si="121"/>
        <v>369</v>
      </c>
      <c r="S441" s="28">
        <f t="shared" si="121"/>
        <v>340</v>
      </c>
      <c r="T441" s="28">
        <f t="shared" si="121"/>
        <v>332</v>
      </c>
      <c r="U441" s="28">
        <f t="shared" si="121"/>
        <v>44</v>
      </c>
      <c r="V441" s="28">
        <f t="shared" si="121"/>
        <v>240</v>
      </c>
    </row>
    <row r="442" spans="1:22" ht="38.25" x14ac:dyDescent="0.2">
      <c r="A442" s="28" t="s">
        <v>407</v>
      </c>
      <c r="B442" s="28" t="s">
        <v>440</v>
      </c>
      <c r="C442" s="28">
        <f t="shared" ref="C442:V442" si="122">C198+C248+C302-C377</f>
        <v>291</v>
      </c>
      <c r="D442" s="28">
        <f t="shared" si="122"/>
        <v>253</v>
      </c>
      <c r="E442" s="28">
        <f t="shared" si="122"/>
        <v>352</v>
      </c>
      <c r="F442" s="28">
        <f t="shared" si="122"/>
        <v>517</v>
      </c>
      <c r="G442" s="28">
        <f t="shared" si="122"/>
        <v>229</v>
      </c>
      <c r="H442" s="28">
        <f t="shared" si="122"/>
        <v>472</v>
      </c>
      <c r="I442" s="28">
        <f t="shared" si="122"/>
        <v>360</v>
      </c>
      <c r="J442" s="28">
        <f t="shared" si="122"/>
        <v>613</v>
      </c>
      <c r="K442" s="28">
        <f t="shared" si="122"/>
        <v>275</v>
      </c>
      <c r="L442" s="28">
        <f t="shared" si="122"/>
        <v>144</v>
      </c>
      <c r="M442" s="28">
        <f t="shared" si="122"/>
        <v>187</v>
      </c>
      <c r="N442" s="28">
        <f t="shared" si="122"/>
        <v>235</v>
      </c>
      <c r="O442" s="28">
        <f t="shared" si="122"/>
        <v>137</v>
      </c>
      <c r="P442" s="28">
        <f t="shared" si="122"/>
        <v>255</v>
      </c>
      <c r="Q442" s="28">
        <f t="shared" si="122"/>
        <v>193</v>
      </c>
      <c r="R442" s="28">
        <f t="shared" si="122"/>
        <v>167</v>
      </c>
      <c r="S442" s="28">
        <f t="shared" si="122"/>
        <v>139</v>
      </c>
      <c r="T442" s="28">
        <f t="shared" si="122"/>
        <v>275</v>
      </c>
      <c r="U442" s="28">
        <f t="shared" si="122"/>
        <v>229</v>
      </c>
      <c r="V442" s="28">
        <f t="shared" si="122"/>
        <v>378</v>
      </c>
    </row>
    <row r="443" spans="1:22" ht="25.5" x14ac:dyDescent="0.2">
      <c r="A443" s="28" t="s">
        <v>407</v>
      </c>
      <c r="B443" s="28" t="s">
        <v>441</v>
      </c>
      <c r="C443" s="28">
        <f t="shared" ref="C443:V443" si="123">C199+C249+C303-C378</f>
        <v>12</v>
      </c>
      <c r="D443" s="28">
        <f t="shared" si="123"/>
        <v>2</v>
      </c>
      <c r="E443" s="28">
        <f t="shared" si="123"/>
        <v>1</v>
      </c>
      <c r="F443" s="28">
        <f t="shared" si="123"/>
        <v>0</v>
      </c>
      <c r="G443" s="28">
        <f t="shared" si="123"/>
        <v>9</v>
      </c>
      <c r="H443" s="28">
        <f t="shared" si="123"/>
        <v>10</v>
      </c>
      <c r="I443" s="28">
        <f t="shared" si="123"/>
        <v>50</v>
      </c>
      <c r="J443" s="28">
        <f t="shared" si="123"/>
        <v>7</v>
      </c>
      <c r="K443" s="28">
        <f t="shared" si="123"/>
        <v>13</v>
      </c>
      <c r="L443" s="28">
        <f t="shared" si="123"/>
        <v>3</v>
      </c>
      <c r="M443" s="28">
        <f t="shared" si="123"/>
        <v>11</v>
      </c>
      <c r="N443" s="28">
        <f t="shared" si="123"/>
        <v>0</v>
      </c>
      <c r="O443" s="28">
        <f t="shared" si="123"/>
        <v>0</v>
      </c>
      <c r="P443" s="28">
        <f t="shared" si="123"/>
        <v>0</v>
      </c>
      <c r="Q443" s="28">
        <f t="shared" si="123"/>
        <v>0</v>
      </c>
      <c r="R443" s="28">
        <f t="shared" si="123"/>
        <v>0</v>
      </c>
      <c r="S443" s="28">
        <f t="shared" si="123"/>
        <v>0</v>
      </c>
      <c r="T443" s="28">
        <f t="shared" si="123"/>
        <v>0</v>
      </c>
      <c r="U443" s="28">
        <f t="shared" si="123"/>
        <v>0</v>
      </c>
      <c r="V443" s="28">
        <f t="shared" si="123"/>
        <v>0</v>
      </c>
    </row>
    <row r="444" spans="1:22" ht="51" x14ac:dyDescent="0.2">
      <c r="A444" s="28" t="s">
        <v>407</v>
      </c>
      <c r="B444" s="28" t="s">
        <v>442</v>
      </c>
      <c r="C444" s="28">
        <f t="shared" ref="C444:V444" si="124">C200+C250+C304-C379</f>
        <v>25</v>
      </c>
      <c r="D444" s="28">
        <f t="shared" si="124"/>
        <v>15</v>
      </c>
      <c r="E444" s="28">
        <f t="shared" si="124"/>
        <v>21</v>
      </c>
      <c r="F444" s="28">
        <f t="shared" si="124"/>
        <v>54</v>
      </c>
      <c r="G444" s="28">
        <f t="shared" si="124"/>
        <v>44</v>
      </c>
      <c r="H444" s="28">
        <f t="shared" si="124"/>
        <v>78</v>
      </c>
      <c r="I444" s="28">
        <f t="shared" si="124"/>
        <v>55</v>
      </c>
      <c r="J444" s="28">
        <f t="shared" si="124"/>
        <v>51</v>
      </c>
      <c r="K444" s="28">
        <f t="shared" si="124"/>
        <v>17</v>
      </c>
      <c r="L444" s="28">
        <f t="shared" si="124"/>
        <v>111</v>
      </c>
      <c r="M444" s="28">
        <f t="shared" si="124"/>
        <v>80</v>
      </c>
      <c r="N444" s="28">
        <f t="shared" si="124"/>
        <v>97</v>
      </c>
      <c r="O444" s="28">
        <f t="shared" si="124"/>
        <v>138</v>
      </c>
      <c r="P444" s="28">
        <f t="shared" si="124"/>
        <v>193</v>
      </c>
      <c r="Q444" s="28">
        <f t="shared" si="124"/>
        <v>195</v>
      </c>
      <c r="R444" s="28">
        <f t="shared" si="124"/>
        <v>131</v>
      </c>
      <c r="S444" s="28">
        <f t="shared" si="124"/>
        <v>188</v>
      </c>
      <c r="T444" s="28">
        <f t="shared" si="124"/>
        <v>74</v>
      </c>
      <c r="U444" s="28">
        <f t="shared" si="124"/>
        <v>90</v>
      </c>
      <c r="V444" s="28">
        <f t="shared" si="124"/>
        <v>127</v>
      </c>
    </row>
    <row r="445" spans="1:22" ht="51" x14ac:dyDescent="0.2">
      <c r="A445" s="28" t="s">
        <v>407</v>
      </c>
      <c r="B445" s="28" t="s">
        <v>443</v>
      </c>
      <c r="C445" s="28">
        <f t="shared" ref="C445:V445" si="125">C201+C251+C305-C380</f>
        <v>909</v>
      </c>
      <c r="D445" s="28">
        <f t="shared" si="125"/>
        <v>1339</v>
      </c>
      <c r="E445" s="28">
        <f t="shared" si="125"/>
        <v>1257</v>
      </c>
      <c r="F445" s="28">
        <f t="shared" si="125"/>
        <v>1834</v>
      </c>
      <c r="G445" s="28">
        <f t="shared" si="125"/>
        <v>1303</v>
      </c>
      <c r="H445" s="28">
        <f t="shared" si="125"/>
        <v>925</v>
      </c>
      <c r="I445" s="28">
        <f t="shared" si="125"/>
        <v>855</v>
      </c>
      <c r="J445" s="28">
        <f t="shared" si="125"/>
        <v>1249</v>
      </c>
      <c r="K445" s="28">
        <f t="shared" si="125"/>
        <v>702</v>
      </c>
      <c r="L445" s="28">
        <f t="shared" si="125"/>
        <v>0</v>
      </c>
      <c r="M445" s="28">
        <f t="shared" si="125"/>
        <v>0</v>
      </c>
      <c r="N445" s="28">
        <f t="shared" si="125"/>
        <v>0</v>
      </c>
      <c r="O445" s="28">
        <f t="shared" si="125"/>
        <v>0</v>
      </c>
      <c r="P445" s="28">
        <f t="shared" si="125"/>
        <v>0</v>
      </c>
      <c r="Q445" s="28">
        <f t="shared" si="125"/>
        <v>0</v>
      </c>
      <c r="R445" s="28">
        <f t="shared" si="125"/>
        <v>0</v>
      </c>
      <c r="S445" s="28">
        <f t="shared" si="125"/>
        <v>0</v>
      </c>
      <c r="T445" s="28">
        <f t="shared" si="125"/>
        <v>0</v>
      </c>
      <c r="U445" s="28">
        <f t="shared" si="125"/>
        <v>0</v>
      </c>
      <c r="V445" s="28">
        <f t="shared" si="125"/>
        <v>0</v>
      </c>
    </row>
    <row r="446" spans="1:22" ht="38.25" x14ac:dyDescent="0.2">
      <c r="A446" s="28" t="s">
        <v>407</v>
      </c>
      <c r="B446" s="28" t="s">
        <v>444</v>
      </c>
      <c r="C446" s="28">
        <f t="shared" ref="C446:V446" si="126">SUM(C447:C453)</f>
        <v>959</v>
      </c>
      <c r="D446" s="28">
        <f t="shared" si="126"/>
        <v>1268</v>
      </c>
      <c r="E446" s="28">
        <f t="shared" si="126"/>
        <v>1610</v>
      </c>
      <c r="F446" s="28">
        <f t="shared" si="126"/>
        <v>1812</v>
      </c>
      <c r="G446" s="28">
        <f t="shared" si="126"/>
        <v>2033</v>
      </c>
      <c r="H446" s="28">
        <f t="shared" si="126"/>
        <v>1941</v>
      </c>
      <c r="I446" s="28">
        <f t="shared" si="126"/>
        <v>2511</v>
      </c>
      <c r="J446" s="28">
        <f t="shared" si="126"/>
        <v>2574</v>
      </c>
      <c r="K446" s="28">
        <f t="shared" si="126"/>
        <v>2897</v>
      </c>
      <c r="L446" s="28">
        <f t="shared" si="126"/>
        <v>3231</v>
      </c>
      <c r="M446" s="28">
        <f t="shared" si="126"/>
        <v>3110</v>
      </c>
      <c r="N446" s="28">
        <f t="shared" si="126"/>
        <v>3431</v>
      </c>
      <c r="O446" s="28">
        <f t="shared" si="126"/>
        <v>2287</v>
      </c>
      <c r="P446" s="28">
        <f t="shared" si="126"/>
        <v>2134</v>
      </c>
      <c r="Q446" s="28">
        <f t="shared" si="126"/>
        <v>2150</v>
      </c>
      <c r="R446" s="28">
        <f t="shared" si="126"/>
        <v>2254</v>
      </c>
      <c r="S446" s="28">
        <f t="shared" si="126"/>
        <v>2602</v>
      </c>
      <c r="T446" s="28">
        <f t="shared" si="126"/>
        <v>3453</v>
      </c>
      <c r="U446" s="28">
        <f t="shared" si="126"/>
        <v>5514</v>
      </c>
      <c r="V446" s="28">
        <f t="shared" si="126"/>
        <v>9734</v>
      </c>
    </row>
    <row r="447" spans="1:22" ht="38.25" x14ac:dyDescent="0.2">
      <c r="A447" s="28" t="s">
        <v>407</v>
      </c>
      <c r="B447" s="28" t="s">
        <v>445</v>
      </c>
      <c r="C447" s="28">
        <f t="shared" ref="C447:V447" si="127">C203+C253+C307-C382</f>
        <v>255</v>
      </c>
      <c r="D447" s="28">
        <f t="shared" si="127"/>
        <v>305</v>
      </c>
      <c r="E447" s="28">
        <f t="shared" si="127"/>
        <v>264</v>
      </c>
      <c r="F447" s="28">
        <f t="shared" si="127"/>
        <v>245</v>
      </c>
      <c r="G447" s="28">
        <f t="shared" si="127"/>
        <v>258</v>
      </c>
      <c r="H447" s="28">
        <f t="shared" si="127"/>
        <v>228</v>
      </c>
      <c r="I447" s="28">
        <f t="shared" si="127"/>
        <v>204</v>
      </c>
      <c r="J447" s="28">
        <f t="shared" si="127"/>
        <v>167</v>
      </c>
      <c r="K447" s="28">
        <f t="shared" si="127"/>
        <v>312</v>
      </c>
      <c r="L447" s="28">
        <f t="shared" si="127"/>
        <v>591</v>
      </c>
      <c r="M447" s="28">
        <f t="shared" si="127"/>
        <v>750</v>
      </c>
      <c r="N447" s="28">
        <f t="shared" si="127"/>
        <v>820</v>
      </c>
      <c r="O447" s="28">
        <f t="shared" si="127"/>
        <v>891</v>
      </c>
      <c r="P447" s="28">
        <f t="shared" si="127"/>
        <v>1014</v>
      </c>
      <c r="Q447" s="28">
        <f t="shared" si="127"/>
        <v>1179</v>
      </c>
      <c r="R447" s="28">
        <f t="shared" si="127"/>
        <v>1479</v>
      </c>
      <c r="S447" s="28">
        <f t="shared" si="127"/>
        <v>1593</v>
      </c>
      <c r="T447" s="28">
        <f t="shared" si="127"/>
        <v>1437</v>
      </c>
      <c r="U447" s="28">
        <f t="shared" si="127"/>
        <v>1868</v>
      </c>
      <c r="V447" s="28">
        <f t="shared" si="127"/>
        <v>4703</v>
      </c>
    </row>
    <row r="448" spans="1:22" ht="51" x14ac:dyDescent="0.2">
      <c r="A448" s="28" t="s">
        <v>407</v>
      </c>
      <c r="B448" s="28" t="s">
        <v>446</v>
      </c>
      <c r="C448" s="28">
        <f t="shared" ref="C448:V448" si="128">C204+C254+C308-C383</f>
        <v>0</v>
      </c>
      <c r="D448" s="28">
        <f t="shared" si="128"/>
        <v>0</v>
      </c>
      <c r="E448" s="28">
        <f t="shared" si="128"/>
        <v>0</v>
      </c>
      <c r="F448" s="28">
        <f t="shared" si="128"/>
        <v>0</v>
      </c>
      <c r="G448" s="28">
        <f t="shared" si="128"/>
        <v>0</v>
      </c>
      <c r="H448" s="28">
        <f t="shared" si="128"/>
        <v>0</v>
      </c>
      <c r="I448" s="28">
        <f t="shared" si="128"/>
        <v>0</v>
      </c>
      <c r="J448" s="28">
        <f t="shared" si="128"/>
        <v>0</v>
      </c>
      <c r="K448" s="28">
        <f t="shared" si="128"/>
        <v>34</v>
      </c>
      <c r="L448" s="28">
        <f t="shared" si="128"/>
        <v>105</v>
      </c>
      <c r="M448" s="28">
        <f t="shared" si="128"/>
        <v>15</v>
      </c>
      <c r="N448" s="28">
        <f t="shared" si="128"/>
        <v>31</v>
      </c>
      <c r="O448" s="28">
        <f t="shared" si="128"/>
        <v>53</v>
      </c>
      <c r="P448" s="28">
        <f t="shared" si="128"/>
        <v>76</v>
      </c>
      <c r="Q448" s="28">
        <f t="shared" si="128"/>
        <v>114</v>
      </c>
      <c r="R448" s="28">
        <f t="shared" si="128"/>
        <v>134</v>
      </c>
      <c r="S448" s="28">
        <f t="shared" si="128"/>
        <v>239</v>
      </c>
      <c r="T448" s="28">
        <f t="shared" si="128"/>
        <v>267</v>
      </c>
      <c r="U448" s="28">
        <f t="shared" si="128"/>
        <v>297</v>
      </c>
      <c r="V448" s="28">
        <f t="shared" si="128"/>
        <v>354</v>
      </c>
    </row>
    <row r="449" spans="1:22" ht="38.25" x14ac:dyDescent="0.2">
      <c r="A449" s="28" t="s">
        <v>407</v>
      </c>
      <c r="B449" s="28" t="s">
        <v>447</v>
      </c>
      <c r="C449" s="28">
        <f t="shared" ref="C449:V449" si="129">C205+C255+C309-C384</f>
        <v>160</v>
      </c>
      <c r="D449" s="28">
        <f t="shared" si="129"/>
        <v>159</v>
      </c>
      <c r="E449" s="28">
        <f t="shared" si="129"/>
        <v>231</v>
      </c>
      <c r="F449" s="28">
        <f t="shared" si="129"/>
        <v>316</v>
      </c>
      <c r="G449" s="28">
        <f t="shared" si="129"/>
        <v>334</v>
      </c>
      <c r="H449" s="28">
        <f t="shared" si="129"/>
        <v>257</v>
      </c>
      <c r="I449" s="28">
        <f t="shared" si="129"/>
        <v>354</v>
      </c>
      <c r="J449" s="28">
        <f t="shared" si="129"/>
        <v>448</v>
      </c>
      <c r="K449" s="28">
        <f t="shared" si="129"/>
        <v>554</v>
      </c>
      <c r="L449" s="28">
        <f t="shared" si="129"/>
        <v>645</v>
      </c>
      <c r="M449" s="28">
        <f t="shared" si="129"/>
        <v>240</v>
      </c>
      <c r="N449" s="28">
        <f t="shared" si="129"/>
        <v>234</v>
      </c>
      <c r="O449" s="28">
        <f t="shared" si="129"/>
        <v>466</v>
      </c>
      <c r="P449" s="28">
        <f t="shared" si="129"/>
        <v>369</v>
      </c>
      <c r="Q449" s="28">
        <f t="shared" si="129"/>
        <v>475</v>
      </c>
      <c r="R449" s="28">
        <f t="shared" si="129"/>
        <v>399</v>
      </c>
      <c r="S449" s="28">
        <f t="shared" si="129"/>
        <v>539</v>
      </c>
      <c r="T449" s="28">
        <f t="shared" si="129"/>
        <v>1472</v>
      </c>
      <c r="U449" s="28">
        <f t="shared" si="129"/>
        <v>2872</v>
      </c>
      <c r="V449" s="28">
        <f t="shared" si="129"/>
        <v>4189</v>
      </c>
    </row>
    <row r="450" spans="1:22" ht="38.25" x14ac:dyDescent="0.2">
      <c r="A450" s="28" t="s">
        <v>407</v>
      </c>
      <c r="B450" s="28" t="s">
        <v>448</v>
      </c>
      <c r="C450" s="28">
        <f t="shared" ref="C450:V450" si="130">C206+C256+C310-C385</f>
        <v>312</v>
      </c>
      <c r="D450" s="28">
        <f t="shared" si="130"/>
        <v>416</v>
      </c>
      <c r="E450" s="28">
        <f t="shared" si="130"/>
        <v>532</v>
      </c>
      <c r="F450" s="28">
        <f t="shared" si="130"/>
        <v>775</v>
      </c>
      <c r="G450" s="28">
        <f t="shared" si="130"/>
        <v>1091</v>
      </c>
      <c r="H450" s="28">
        <f t="shared" si="130"/>
        <v>1207</v>
      </c>
      <c r="I450" s="28">
        <f t="shared" si="130"/>
        <v>1662</v>
      </c>
      <c r="J450" s="28">
        <f t="shared" si="130"/>
        <v>1671</v>
      </c>
      <c r="K450" s="28">
        <f t="shared" si="130"/>
        <v>1598</v>
      </c>
      <c r="L450" s="28">
        <f t="shared" si="130"/>
        <v>1371</v>
      </c>
      <c r="M450" s="28">
        <f t="shared" si="130"/>
        <v>1420</v>
      </c>
      <c r="N450" s="28">
        <f t="shared" si="130"/>
        <v>1567</v>
      </c>
      <c r="O450" s="28">
        <f t="shared" si="130"/>
        <v>840</v>
      </c>
      <c r="P450" s="28">
        <f t="shared" si="130"/>
        <v>672</v>
      </c>
      <c r="Q450" s="28">
        <f t="shared" si="130"/>
        <v>375</v>
      </c>
      <c r="R450" s="28">
        <f t="shared" si="130"/>
        <v>232</v>
      </c>
      <c r="S450" s="28">
        <f t="shared" si="130"/>
        <v>212</v>
      </c>
      <c r="T450" s="28">
        <f t="shared" si="130"/>
        <v>270</v>
      </c>
      <c r="U450" s="28">
        <f t="shared" si="130"/>
        <v>468</v>
      </c>
      <c r="V450" s="28">
        <f t="shared" si="130"/>
        <v>470</v>
      </c>
    </row>
    <row r="451" spans="1:22" ht="38.25" x14ac:dyDescent="0.2">
      <c r="A451" s="28" t="s">
        <v>407</v>
      </c>
      <c r="B451" s="28" t="s">
        <v>449</v>
      </c>
      <c r="C451" s="28">
        <f t="shared" ref="C451:V451" si="131">C207+C257+C311-C386</f>
        <v>0</v>
      </c>
      <c r="D451" s="28">
        <f t="shared" si="131"/>
        <v>0</v>
      </c>
      <c r="E451" s="28">
        <f t="shared" si="131"/>
        <v>0</v>
      </c>
      <c r="F451" s="28">
        <f t="shared" si="131"/>
        <v>0</v>
      </c>
      <c r="G451" s="28">
        <f t="shared" si="131"/>
        <v>0</v>
      </c>
      <c r="H451" s="28">
        <f t="shared" si="131"/>
        <v>0</v>
      </c>
      <c r="I451" s="28">
        <f t="shared" si="131"/>
        <v>0</v>
      </c>
      <c r="J451" s="28">
        <f t="shared" si="131"/>
        <v>0</v>
      </c>
      <c r="K451" s="28">
        <f t="shared" si="131"/>
        <v>0</v>
      </c>
      <c r="L451" s="28">
        <f t="shared" si="131"/>
        <v>0</v>
      </c>
      <c r="M451" s="28">
        <f t="shared" si="131"/>
        <v>0</v>
      </c>
      <c r="N451" s="28">
        <f t="shared" si="131"/>
        <v>0</v>
      </c>
      <c r="O451" s="28">
        <f t="shared" si="131"/>
        <v>4</v>
      </c>
      <c r="P451" s="28">
        <f t="shared" si="131"/>
        <v>3</v>
      </c>
      <c r="Q451" s="28">
        <f t="shared" si="131"/>
        <v>7</v>
      </c>
      <c r="R451" s="28">
        <f t="shared" si="131"/>
        <v>10</v>
      </c>
      <c r="S451" s="28">
        <f t="shared" si="131"/>
        <v>19</v>
      </c>
      <c r="T451" s="28">
        <f t="shared" si="131"/>
        <v>7</v>
      </c>
      <c r="U451" s="28">
        <f t="shared" si="131"/>
        <v>9</v>
      </c>
      <c r="V451" s="28">
        <f t="shared" si="131"/>
        <v>18</v>
      </c>
    </row>
    <row r="452" spans="1:22" ht="38.25" x14ac:dyDescent="0.2">
      <c r="A452" s="28" t="s">
        <v>407</v>
      </c>
      <c r="B452" s="28" t="s">
        <v>450</v>
      </c>
      <c r="C452" s="28">
        <f t="shared" ref="C452:V452" si="132">C208+C258+C312-C387</f>
        <v>194</v>
      </c>
      <c r="D452" s="28">
        <f t="shared" si="132"/>
        <v>302</v>
      </c>
      <c r="E452" s="28">
        <f t="shared" si="132"/>
        <v>451</v>
      </c>
      <c r="F452" s="28">
        <f t="shared" si="132"/>
        <v>433</v>
      </c>
      <c r="G452" s="28">
        <f t="shared" si="132"/>
        <v>317</v>
      </c>
      <c r="H452" s="28">
        <f t="shared" si="132"/>
        <v>221</v>
      </c>
      <c r="I452" s="28">
        <f t="shared" si="132"/>
        <v>266</v>
      </c>
      <c r="J452" s="28">
        <f t="shared" si="132"/>
        <v>273</v>
      </c>
      <c r="K452" s="28">
        <f t="shared" si="132"/>
        <v>374</v>
      </c>
      <c r="L452" s="28">
        <f t="shared" si="132"/>
        <v>504</v>
      </c>
      <c r="M452" s="28">
        <f t="shared" si="132"/>
        <v>661</v>
      </c>
      <c r="N452" s="28">
        <f t="shared" si="132"/>
        <v>751</v>
      </c>
      <c r="O452" s="28">
        <f t="shared" si="132"/>
        <v>33</v>
      </c>
      <c r="P452" s="28">
        <f t="shared" si="132"/>
        <v>0</v>
      </c>
      <c r="Q452" s="28">
        <f t="shared" si="132"/>
        <v>0</v>
      </c>
      <c r="R452" s="28">
        <f t="shared" si="132"/>
        <v>0</v>
      </c>
      <c r="S452" s="28">
        <f t="shared" si="132"/>
        <v>0</v>
      </c>
      <c r="T452" s="28">
        <f t="shared" si="132"/>
        <v>0</v>
      </c>
      <c r="U452" s="28">
        <f t="shared" si="132"/>
        <v>0</v>
      </c>
      <c r="V452" s="28">
        <f t="shared" si="132"/>
        <v>0</v>
      </c>
    </row>
    <row r="453" spans="1:22" ht="38.25" x14ac:dyDescent="0.2">
      <c r="A453" s="28" t="s">
        <v>407</v>
      </c>
      <c r="B453" s="28" t="s">
        <v>451</v>
      </c>
      <c r="C453" s="28">
        <f t="shared" ref="C453:V453" si="133">C209+C259+C313-C388</f>
        <v>38</v>
      </c>
      <c r="D453" s="28">
        <f t="shared" si="133"/>
        <v>86</v>
      </c>
      <c r="E453" s="28">
        <f t="shared" si="133"/>
        <v>132</v>
      </c>
      <c r="F453" s="28">
        <f t="shared" si="133"/>
        <v>43</v>
      </c>
      <c r="G453" s="28">
        <f t="shared" si="133"/>
        <v>33</v>
      </c>
      <c r="H453" s="28">
        <f t="shared" si="133"/>
        <v>28</v>
      </c>
      <c r="I453" s="28">
        <f t="shared" si="133"/>
        <v>25</v>
      </c>
      <c r="J453" s="28">
        <f t="shared" si="133"/>
        <v>15</v>
      </c>
      <c r="K453" s="28">
        <f t="shared" si="133"/>
        <v>25</v>
      </c>
      <c r="L453" s="28">
        <f t="shared" si="133"/>
        <v>15</v>
      </c>
      <c r="M453" s="28">
        <f t="shared" si="133"/>
        <v>24</v>
      </c>
      <c r="N453" s="28">
        <f t="shared" si="133"/>
        <v>28</v>
      </c>
      <c r="O453" s="28">
        <f t="shared" si="133"/>
        <v>0</v>
      </c>
      <c r="P453" s="28">
        <f t="shared" si="133"/>
        <v>0</v>
      </c>
      <c r="Q453" s="28">
        <f t="shared" si="133"/>
        <v>0</v>
      </c>
      <c r="R453" s="28">
        <f t="shared" si="133"/>
        <v>0</v>
      </c>
      <c r="S453" s="28">
        <f t="shared" si="133"/>
        <v>0</v>
      </c>
      <c r="T453" s="28">
        <f t="shared" si="133"/>
        <v>0</v>
      </c>
      <c r="U453" s="28">
        <f t="shared" si="133"/>
        <v>0</v>
      </c>
      <c r="V453" s="28">
        <f t="shared" si="133"/>
        <v>0</v>
      </c>
    </row>
    <row r="454" spans="1:22" ht="25.5" x14ac:dyDescent="0.2">
      <c r="A454" s="28" t="s">
        <v>407</v>
      </c>
      <c r="B454" s="28" t="s">
        <v>452</v>
      </c>
      <c r="C454" s="28">
        <f t="shared" ref="C454:V454" si="134">C210+C260+C314-C389-C407</f>
        <v>0</v>
      </c>
      <c r="D454" s="28">
        <f t="shared" si="134"/>
        <v>1461</v>
      </c>
      <c r="E454" s="28">
        <f t="shared" si="134"/>
        <v>0</v>
      </c>
      <c r="F454" s="28">
        <f t="shared" si="134"/>
        <v>0</v>
      </c>
      <c r="G454" s="28">
        <f t="shared" si="134"/>
        <v>0</v>
      </c>
      <c r="H454" s="28">
        <f t="shared" si="134"/>
        <v>0</v>
      </c>
      <c r="I454" s="28">
        <f t="shared" si="134"/>
        <v>446</v>
      </c>
      <c r="J454" s="28">
        <f t="shared" si="134"/>
        <v>0</v>
      </c>
      <c r="K454" s="28">
        <f t="shared" si="134"/>
        <v>0</v>
      </c>
      <c r="L454" s="28">
        <f t="shared" si="134"/>
        <v>0</v>
      </c>
      <c r="M454" s="28">
        <f t="shared" si="134"/>
        <v>0</v>
      </c>
      <c r="N454" s="28">
        <f t="shared" si="134"/>
        <v>0</v>
      </c>
      <c r="O454" s="28">
        <f t="shared" si="134"/>
        <v>0</v>
      </c>
      <c r="P454" s="28">
        <f t="shared" si="134"/>
        <v>0</v>
      </c>
      <c r="Q454" s="28">
        <f t="shared" si="134"/>
        <v>0</v>
      </c>
      <c r="R454" s="28">
        <f t="shared" si="134"/>
        <v>0</v>
      </c>
      <c r="S454" s="28">
        <f t="shared" si="134"/>
        <v>0</v>
      </c>
      <c r="T454" s="28">
        <f t="shared" si="134"/>
        <v>0</v>
      </c>
      <c r="U454" s="28">
        <f t="shared" si="134"/>
        <v>0</v>
      </c>
      <c r="V454" s="28">
        <f t="shared" si="134"/>
        <v>0</v>
      </c>
    </row>
    <row r="455" spans="1:22" ht="38.25" x14ac:dyDescent="0.2">
      <c r="A455" s="28" t="s">
        <v>407</v>
      </c>
      <c r="B455" s="28" t="s">
        <v>453</v>
      </c>
      <c r="C455" s="28">
        <f t="shared" ref="C455:V455" si="135">C211+C261+C315-C390-C408</f>
        <v>4607</v>
      </c>
      <c r="D455" s="28">
        <f t="shared" si="135"/>
        <v>5566</v>
      </c>
      <c r="E455" s="28">
        <f t="shared" si="135"/>
        <v>5162</v>
      </c>
      <c r="F455" s="28">
        <f t="shared" si="135"/>
        <v>8535</v>
      </c>
      <c r="G455" s="28">
        <f t="shared" si="135"/>
        <v>7575</v>
      </c>
      <c r="H455" s="28">
        <f t="shared" si="135"/>
        <v>7291</v>
      </c>
      <c r="I455" s="28">
        <f t="shared" si="135"/>
        <v>7393</v>
      </c>
      <c r="J455" s="28">
        <f t="shared" si="135"/>
        <v>7304</v>
      </c>
      <c r="K455" s="28">
        <f t="shared" si="135"/>
        <v>7785</v>
      </c>
      <c r="L455" s="28">
        <f t="shared" si="135"/>
        <v>5394</v>
      </c>
      <c r="M455" s="28">
        <f t="shared" si="135"/>
        <v>4351</v>
      </c>
      <c r="N455" s="28">
        <f t="shared" si="135"/>
        <v>4670</v>
      </c>
      <c r="O455" s="28">
        <f t="shared" si="135"/>
        <v>5572</v>
      </c>
      <c r="P455" s="28">
        <f t="shared" si="135"/>
        <v>5519</v>
      </c>
      <c r="Q455" s="28">
        <f t="shared" si="135"/>
        <v>5083</v>
      </c>
      <c r="R455" s="28">
        <f t="shared" si="135"/>
        <v>5509</v>
      </c>
      <c r="S455" s="28">
        <f t="shared" si="135"/>
        <v>8137</v>
      </c>
      <c r="T455" s="28">
        <f t="shared" si="135"/>
        <v>10735</v>
      </c>
      <c r="U455" s="28">
        <f t="shared" si="135"/>
        <v>6740</v>
      </c>
      <c r="V455" s="28">
        <f t="shared" si="135"/>
        <v>5048</v>
      </c>
    </row>
    <row r="456" spans="1:22" ht="38.25" x14ac:dyDescent="0.2">
      <c r="A456" s="28" t="s">
        <v>407</v>
      </c>
      <c r="B456" s="28" t="s">
        <v>454</v>
      </c>
      <c r="C456" s="28">
        <f t="shared" ref="C456:L456" si="136">C212+C262+C316-C391-C409</f>
        <v>63269</v>
      </c>
      <c r="D456" s="28">
        <f t="shared" si="136"/>
        <v>63269</v>
      </c>
      <c r="E456" s="28">
        <f t="shared" si="136"/>
        <v>72508</v>
      </c>
      <c r="F456" s="28">
        <f t="shared" si="136"/>
        <v>79730</v>
      </c>
      <c r="G456" s="28">
        <f t="shared" si="136"/>
        <v>76799</v>
      </c>
      <c r="H456" s="28">
        <f t="shared" si="136"/>
        <v>79304</v>
      </c>
      <c r="I456" s="28">
        <f t="shared" si="136"/>
        <v>79922</v>
      </c>
      <c r="J456" s="28">
        <f t="shared" si="136"/>
        <v>65467</v>
      </c>
      <c r="K456" s="28">
        <f t="shared" si="136"/>
        <v>73373</v>
      </c>
      <c r="L456" s="28">
        <f t="shared" si="136"/>
        <v>81386</v>
      </c>
      <c r="M456" s="28">
        <f>M212+M262+M316-M391-M409+103309</f>
        <v>93649</v>
      </c>
      <c r="N456" s="28">
        <f t="shared" ref="N456:V456" si="137">N212+N262+N316-N391-N409</f>
        <v>110167</v>
      </c>
      <c r="O456" s="28">
        <f t="shared" si="137"/>
        <v>118085</v>
      </c>
      <c r="P456" s="28">
        <f t="shared" si="137"/>
        <v>120248</v>
      </c>
      <c r="Q456" s="28">
        <f t="shared" si="137"/>
        <v>127816</v>
      </c>
      <c r="R456" s="28">
        <f t="shared" si="137"/>
        <v>122912</v>
      </c>
      <c r="S456" s="28">
        <f t="shared" si="137"/>
        <v>116342</v>
      </c>
      <c r="T456" s="28">
        <f t="shared" si="137"/>
        <v>112522</v>
      </c>
      <c r="U456" s="28">
        <f t="shared" si="137"/>
        <v>108607</v>
      </c>
      <c r="V456" s="28">
        <f t="shared" si="137"/>
        <v>112829</v>
      </c>
    </row>
    <row r="457" spans="1:22" ht="38.25" x14ac:dyDescent="0.2">
      <c r="A457" s="28" t="s">
        <v>407</v>
      </c>
      <c r="B457" s="28" t="s">
        <v>455</v>
      </c>
      <c r="C457" s="28">
        <f t="shared" ref="C457:V457" si="138">C213+C263+C317-C392</f>
        <v>0</v>
      </c>
      <c r="D457" s="28">
        <f t="shared" si="138"/>
        <v>0</v>
      </c>
      <c r="E457" s="28">
        <f t="shared" si="138"/>
        <v>0</v>
      </c>
      <c r="F457" s="28">
        <f t="shared" si="138"/>
        <v>0</v>
      </c>
      <c r="G457" s="28">
        <f t="shared" si="138"/>
        <v>0</v>
      </c>
      <c r="H457" s="28">
        <f t="shared" si="138"/>
        <v>0</v>
      </c>
      <c r="I457" s="28">
        <f t="shared" si="138"/>
        <v>0</v>
      </c>
      <c r="J457" s="28">
        <f t="shared" si="138"/>
        <v>0</v>
      </c>
      <c r="K457" s="28">
        <f t="shared" si="138"/>
        <v>0</v>
      </c>
      <c r="L457" s="28">
        <f t="shared" si="138"/>
        <v>0</v>
      </c>
      <c r="M457" s="28">
        <f t="shared" si="138"/>
        <v>0</v>
      </c>
      <c r="N457" s="28">
        <f t="shared" si="138"/>
        <v>0</v>
      </c>
      <c r="O457" s="28">
        <f t="shared" si="138"/>
        <v>0</v>
      </c>
      <c r="P457" s="28">
        <f t="shared" si="138"/>
        <v>0</v>
      </c>
      <c r="Q457" s="28">
        <f t="shared" si="138"/>
        <v>0</v>
      </c>
      <c r="R457" s="28">
        <f t="shared" si="138"/>
        <v>0</v>
      </c>
      <c r="S457" s="28">
        <f t="shared" si="138"/>
        <v>0</v>
      </c>
      <c r="T457" s="28">
        <f t="shared" si="138"/>
        <v>6411</v>
      </c>
      <c r="U457" s="28">
        <f t="shared" si="138"/>
        <v>18729</v>
      </c>
      <c r="V457" s="28">
        <f t="shared" si="138"/>
        <v>26143</v>
      </c>
    </row>
    <row r="458" spans="1:22" ht="63.75" x14ac:dyDescent="0.2">
      <c r="A458" s="28" t="s">
        <v>407</v>
      </c>
      <c r="B458" s="28" t="s">
        <v>456</v>
      </c>
      <c r="C458" s="28">
        <f t="shared" ref="C458:V458" si="139">C214+C264+C318-C393</f>
        <v>0</v>
      </c>
      <c r="D458" s="28">
        <f t="shared" si="139"/>
        <v>0</v>
      </c>
      <c r="E458" s="28">
        <f t="shared" si="139"/>
        <v>0</v>
      </c>
      <c r="F458" s="28">
        <f t="shared" si="139"/>
        <v>0</v>
      </c>
      <c r="G458" s="28">
        <f t="shared" si="139"/>
        <v>0</v>
      </c>
      <c r="H458" s="28">
        <f t="shared" si="139"/>
        <v>0</v>
      </c>
      <c r="I458" s="28">
        <f t="shared" si="139"/>
        <v>0</v>
      </c>
      <c r="J458" s="28">
        <f t="shared" si="139"/>
        <v>0</v>
      </c>
      <c r="K458" s="28">
        <f t="shared" si="139"/>
        <v>0</v>
      </c>
      <c r="L458" s="28">
        <f t="shared" si="139"/>
        <v>0</v>
      </c>
      <c r="M458" s="28">
        <f t="shared" si="139"/>
        <v>0</v>
      </c>
      <c r="N458" s="28">
        <f t="shared" si="139"/>
        <v>2512</v>
      </c>
      <c r="O458" s="28">
        <f t="shared" si="139"/>
        <v>3409</v>
      </c>
      <c r="P458" s="28">
        <f t="shared" si="139"/>
        <v>4021</v>
      </c>
      <c r="Q458" s="28">
        <f t="shared" si="139"/>
        <v>4368</v>
      </c>
      <c r="R458" s="28">
        <f t="shared" si="139"/>
        <v>5329</v>
      </c>
      <c r="S458" s="28">
        <f t="shared" si="139"/>
        <v>7484</v>
      </c>
      <c r="T458" s="28">
        <f t="shared" si="139"/>
        <v>6915</v>
      </c>
      <c r="U458" s="28">
        <f t="shared" si="139"/>
        <v>6973</v>
      </c>
      <c r="V458" s="28">
        <f t="shared" si="139"/>
        <v>5383</v>
      </c>
    </row>
    <row r="459" spans="1:22" ht="76.5" x14ac:dyDescent="0.2">
      <c r="A459" s="28" t="s">
        <v>457</v>
      </c>
      <c r="B459" s="28" t="s">
        <v>458</v>
      </c>
      <c r="C459" s="28">
        <f>405077-57297-1977-36000</f>
        <v>309803</v>
      </c>
      <c r="D459" s="28">
        <f>C463</f>
        <v>316093</v>
      </c>
      <c r="E459" s="28">
        <f t="shared" ref="E459:V459" si="140">D463</f>
        <v>343207</v>
      </c>
      <c r="F459" s="28">
        <f t="shared" si="140"/>
        <v>323605</v>
      </c>
      <c r="G459" s="28">
        <f t="shared" si="140"/>
        <v>303554</v>
      </c>
      <c r="H459" s="28">
        <f t="shared" si="140"/>
        <v>285932</v>
      </c>
      <c r="I459" s="28">
        <f t="shared" si="140"/>
        <v>283028</v>
      </c>
      <c r="J459" s="28">
        <f t="shared" si="140"/>
        <v>279267</v>
      </c>
      <c r="K459" s="28">
        <f t="shared" si="140"/>
        <v>309327</v>
      </c>
      <c r="L459" s="28">
        <f t="shared" si="140"/>
        <v>317033</v>
      </c>
      <c r="M459" s="28">
        <f t="shared" si="140"/>
        <v>414111</v>
      </c>
      <c r="N459" s="28">
        <f t="shared" si="140"/>
        <v>607837</v>
      </c>
      <c r="O459" s="28">
        <f t="shared" si="140"/>
        <v>552775</v>
      </c>
      <c r="P459" s="28">
        <f t="shared" si="140"/>
        <v>523973</v>
      </c>
      <c r="Q459" s="28">
        <f t="shared" si="140"/>
        <v>563310</v>
      </c>
      <c r="R459" s="28">
        <f t="shared" si="140"/>
        <v>567536</v>
      </c>
      <c r="S459" s="28">
        <f t="shared" si="140"/>
        <v>590249</v>
      </c>
      <c r="T459" s="28">
        <f t="shared" si="140"/>
        <v>576015</v>
      </c>
      <c r="U459" s="28">
        <f>T463</f>
        <v>638457</v>
      </c>
      <c r="V459" s="28">
        <f t="shared" si="140"/>
        <v>764005</v>
      </c>
    </row>
    <row r="460" spans="1:22" ht="76.5" x14ac:dyDescent="0.2">
      <c r="A460" s="28" t="s">
        <v>457</v>
      </c>
      <c r="B460" s="28" t="s">
        <v>459</v>
      </c>
      <c r="C460" s="28">
        <f>37254-4712</f>
        <v>32542</v>
      </c>
      <c r="D460" s="28">
        <f>C464</f>
        <v>39597</v>
      </c>
      <c r="E460" s="28">
        <f t="shared" ref="E460:V460" si="141">D464</f>
        <v>41904</v>
      </c>
      <c r="F460" s="28">
        <f t="shared" si="141"/>
        <v>86579</v>
      </c>
      <c r="G460" s="28">
        <f t="shared" si="141"/>
        <v>106890</v>
      </c>
      <c r="H460" s="28">
        <f t="shared" si="141"/>
        <v>124114</v>
      </c>
      <c r="I460" s="28">
        <f t="shared" si="141"/>
        <v>126101</v>
      </c>
      <c r="J460" s="28">
        <f t="shared" si="141"/>
        <v>132709</v>
      </c>
      <c r="K460" s="28">
        <f t="shared" si="141"/>
        <v>135300</v>
      </c>
      <c r="L460" s="28">
        <f t="shared" si="141"/>
        <v>142928</v>
      </c>
      <c r="M460" s="28">
        <f t="shared" si="141"/>
        <v>121957</v>
      </c>
      <c r="N460" s="28">
        <f t="shared" si="141"/>
        <v>152080</v>
      </c>
      <c r="O460" s="28">
        <f t="shared" si="141"/>
        <v>159560</v>
      </c>
      <c r="P460" s="28">
        <f t="shared" si="141"/>
        <v>245084</v>
      </c>
      <c r="Q460" s="28">
        <f t="shared" si="141"/>
        <v>278685</v>
      </c>
      <c r="R460" s="28">
        <f t="shared" si="141"/>
        <v>309358</v>
      </c>
      <c r="S460" s="28">
        <f t="shared" si="141"/>
        <v>345837</v>
      </c>
      <c r="T460" s="28">
        <f t="shared" si="141"/>
        <v>359977</v>
      </c>
      <c r="U460" s="28">
        <f>T464</f>
        <v>394883</v>
      </c>
      <c r="V460" s="28">
        <f t="shared" si="141"/>
        <v>419268</v>
      </c>
    </row>
    <row r="461" spans="1:22" ht="76.5" x14ac:dyDescent="0.2">
      <c r="A461" s="28" t="s">
        <v>457</v>
      </c>
      <c r="B461" s="28" t="s">
        <v>460</v>
      </c>
      <c r="C461" s="28">
        <f t="shared" ref="C461:V461" si="142">C462+C432+C434+C446+C454+C455+C456+C457+C458+C462</f>
        <v>921571</v>
      </c>
      <c r="D461" s="28">
        <f t="shared" si="142"/>
        <v>991673</v>
      </c>
      <c r="E461" s="28">
        <f t="shared" si="142"/>
        <v>1059376</v>
      </c>
      <c r="F461" s="28">
        <f t="shared" si="142"/>
        <v>1092155</v>
      </c>
      <c r="G461" s="28">
        <f t="shared" si="142"/>
        <v>1057717</v>
      </c>
      <c r="H461" s="28">
        <f t="shared" si="142"/>
        <v>1028707</v>
      </c>
      <c r="I461" s="28">
        <f t="shared" si="142"/>
        <v>1016539</v>
      </c>
      <c r="J461" s="28">
        <f t="shared" si="142"/>
        <v>1080098</v>
      </c>
      <c r="K461" s="28">
        <f t="shared" si="142"/>
        <v>1148870</v>
      </c>
      <c r="L461" s="28">
        <f t="shared" si="142"/>
        <v>1345840</v>
      </c>
      <c r="M461" s="28">
        <f t="shared" si="142"/>
        <v>1808400</v>
      </c>
      <c r="N461" s="28">
        <f t="shared" si="142"/>
        <v>1713392</v>
      </c>
      <c r="O461" s="28">
        <f t="shared" si="142"/>
        <v>1806634</v>
      </c>
      <c r="P461" s="28">
        <f t="shared" si="142"/>
        <v>1948941</v>
      </c>
      <c r="Q461" s="28">
        <f t="shared" si="142"/>
        <v>2008962</v>
      </c>
      <c r="R461" s="28">
        <f t="shared" si="142"/>
        <v>2110926</v>
      </c>
      <c r="S461" s="28">
        <f t="shared" si="142"/>
        <v>2113384</v>
      </c>
      <c r="T461" s="28">
        <f t="shared" si="142"/>
        <v>2330082</v>
      </c>
      <c r="U461" s="28">
        <f t="shared" si="142"/>
        <v>2659252</v>
      </c>
      <c r="V461" s="28">
        <f t="shared" si="142"/>
        <v>2840321</v>
      </c>
    </row>
    <row r="462" spans="1:22" ht="51" x14ac:dyDescent="0.2">
      <c r="A462" s="28" t="s">
        <v>457</v>
      </c>
      <c r="B462" s="28" t="s">
        <v>461</v>
      </c>
      <c r="C462" s="28">
        <f t="shared" ref="C462:V462" si="143">C465+C466</f>
        <v>421706</v>
      </c>
      <c r="D462" s="28">
        <f t="shared" si="143"/>
        <v>454123</v>
      </c>
      <c r="E462" s="28">
        <f t="shared" si="143"/>
        <v>483866</v>
      </c>
      <c r="F462" s="28">
        <f t="shared" si="143"/>
        <v>495763</v>
      </c>
      <c r="G462" s="28">
        <f t="shared" si="143"/>
        <v>480170</v>
      </c>
      <c r="H462" s="28">
        <f t="shared" si="143"/>
        <v>464018</v>
      </c>
      <c r="I462" s="28">
        <f t="shared" si="143"/>
        <v>458903</v>
      </c>
      <c r="J462" s="28">
        <f t="shared" si="143"/>
        <v>498236</v>
      </c>
      <c r="K462" s="28">
        <f t="shared" si="143"/>
        <v>528504</v>
      </c>
      <c r="L462" s="28">
        <f t="shared" si="143"/>
        <v>624105</v>
      </c>
      <c r="M462" s="28">
        <f t="shared" si="143"/>
        <v>850804</v>
      </c>
      <c r="N462" s="28">
        <f t="shared" si="143"/>
        <v>793541</v>
      </c>
      <c r="O462" s="28">
        <f t="shared" si="143"/>
        <v>835492</v>
      </c>
      <c r="P462" s="28">
        <f t="shared" si="143"/>
        <v>905211</v>
      </c>
      <c r="Q462" s="28">
        <f t="shared" si="143"/>
        <v>930730</v>
      </c>
      <c r="R462" s="28">
        <f t="shared" si="143"/>
        <v>982921</v>
      </c>
      <c r="S462" s="28">
        <f t="shared" si="143"/>
        <v>984871</v>
      </c>
      <c r="T462" s="28">
        <f t="shared" si="143"/>
        <v>1090205</v>
      </c>
      <c r="U462" s="28">
        <f t="shared" si="143"/>
        <v>1252182</v>
      </c>
      <c r="V462" s="28">
        <f t="shared" si="143"/>
        <v>1336245</v>
      </c>
    </row>
    <row r="463" spans="1:22" ht="76.5" x14ac:dyDescent="0.2">
      <c r="A463" s="28" t="s">
        <v>457</v>
      </c>
      <c r="B463" s="28" t="s">
        <v>462</v>
      </c>
      <c r="C463" s="28">
        <f t="shared" ref="C463:V463" si="144">C465-C513-C527</f>
        <v>316093</v>
      </c>
      <c r="D463" s="28">
        <f t="shared" si="144"/>
        <v>343207</v>
      </c>
      <c r="E463" s="28">
        <f t="shared" si="144"/>
        <v>323605</v>
      </c>
      <c r="F463" s="28">
        <f t="shared" si="144"/>
        <v>303554</v>
      </c>
      <c r="G463" s="28">
        <f t="shared" si="144"/>
        <v>285932</v>
      </c>
      <c r="H463" s="28">
        <f t="shared" si="144"/>
        <v>283028</v>
      </c>
      <c r="I463" s="28">
        <f t="shared" si="144"/>
        <v>279267</v>
      </c>
      <c r="J463" s="28">
        <f t="shared" si="144"/>
        <v>309327</v>
      </c>
      <c r="K463" s="28">
        <f t="shared" si="144"/>
        <v>317033</v>
      </c>
      <c r="L463" s="28">
        <f t="shared" si="144"/>
        <v>414111</v>
      </c>
      <c r="M463" s="28">
        <f t="shared" si="144"/>
        <v>607837</v>
      </c>
      <c r="N463" s="28">
        <f t="shared" si="144"/>
        <v>552775</v>
      </c>
      <c r="O463" s="28">
        <f t="shared" si="144"/>
        <v>523973</v>
      </c>
      <c r="P463" s="28">
        <f t="shared" si="144"/>
        <v>563310</v>
      </c>
      <c r="Q463" s="28">
        <f t="shared" si="144"/>
        <v>567536</v>
      </c>
      <c r="R463" s="28">
        <f t="shared" si="144"/>
        <v>590249</v>
      </c>
      <c r="S463" s="28">
        <f t="shared" si="144"/>
        <v>576015</v>
      </c>
      <c r="T463" s="28">
        <f t="shared" si="144"/>
        <v>638457</v>
      </c>
      <c r="U463" s="28">
        <f t="shared" si="144"/>
        <v>764005</v>
      </c>
      <c r="V463" s="28">
        <f t="shared" si="144"/>
        <v>813815</v>
      </c>
    </row>
    <row r="464" spans="1:22" ht="76.5" x14ac:dyDescent="0.2">
      <c r="A464" s="28" t="s">
        <v>457</v>
      </c>
      <c r="B464" s="28" t="s">
        <v>463</v>
      </c>
      <c r="C464" s="28">
        <f t="shared" ref="C464:V464" si="145">C466-C514-C515-C528</f>
        <v>39597</v>
      </c>
      <c r="D464" s="28">
        <f t="shared" si="145"/>
        <v>41904</v>
      </c>
      <c r="E464" s="28">
        <f t="shared" si="145"/>
        <v>86579</v>
      </c>
      <c r="F464" s="28">
        <f t="shared" si="145"/>
        <v>106890</v>
      </c>
      <c r="G464" s="28">
        <f t="shared" si="145"/>
        <v>124114</v>
      </c>
      <c r="H464" s="28">
        <f t="shared" si="145"/>
        <v>126101</v>
      </c>
      <c r="I464" s="28">
        <f t="shared" si="145"/>
        <v>132709</v>
      </c>
      <c r="J464" s="28">
        <f t="shared" si="145"/>
        <v>135300</v>
      </c>
      <c r="K464" s="28">
        <f t="shared" si="145"/>
        <v>142928</v>
      </c>
      <c r="L464" s="28">
        <f t="shared" si="145"/>
        <v>121957</v>
      </c>
      <c r="M464" s="28">
        <f t="shared" si="145"/>
        <v>152080</v>
      </c>
      <c r="N464" s="28">
        <f t="shared" si="145"/>
        <v>159560</v>
      </c>
      <c r="O464" s="28">
        <f t="shared" si="145"/>
        <v>245084</v>
      </c>
      <c r="P464" s="28">
        <f t="shared" si="145"/>
        <v>278685</v>
      </c>
      <c r="Q464" s="28">
        <f t="shared" si="145"/>
        <v>309358</v>
      </c>
      <c r="R464" s="28">
        <f t="shared" si="145"/>
        <v>345837</v>
      </c>
      <c r="S464" s="28">
        <f t="shared" si="145"/>
        <v>359977</v>
      </c>
      <c r="T464" s="28">
        <f t="shared" si="145"/>
        <v>394883</v>
      </c>
      <c r="U464" s="28">
        <f t="shared" si="145"/>
        <v>419268</v>
      </c>
      <c r="V464" s="28">
        <f t="shared" si="145"/>
        <v>448329</v>
      </c>
    </row>
    <row r="465" spans="1:22" ht="51" x14ac:dyDescent="0.2">
      <c r="A465" s="28" t="s">
        <v>457</v>
      </c>
      <c r="B465" s="28" t="s">
        <v>464</v>
      </c>
      <c r="C465" s="28">
        <f t="shared" ref="C465:V465" si="146">C467+C469+C471+C433</f>
        <v>374408</v>
      </c>
      <c r="D465" s="28">
        <f t="shared" si="146"/>
        <v>402305</v>
      </c>
      <c r="E465" s="28">
        <f t="shared" si="146"/>
        <v>386447</v>
      </c>
      <c r="F465" s="28">
        <f t="shared" si="146"/>
        <v>377465</v>
      </c>
      <c r="G465" s="28">
        <f t="shared" si="146"/>
        <v>344527</v>
      </c>
      <c r="H465" s="28">
        <f t="shared" si="146"/>
        <v>328003</v>
      </c>
      <c r="I465" s="28">
        <f t="shared" si="146"/>
        <v>318415</v>
      </c>
      <c r="J465" s="28">
        <f t="shared" si="146"/>
        <v>355750</v>
      </c>
      <c r="K465" s="28">
        <f t="shared" si="146"/>
        <v>378853</v>
      </c>
      <c r="L465" s="28">
        <f t="shared" si="146"/>
        <v>495108</v>
      </c>
      <c r="M465" s="28">
        <f t="shared" si="146"/>
        <v>691255</v>
      </c>
      <c r="N465" s="28">
        <f t="shared" si="146"/>
        <v>626624</v>
      </c>
      <c r="O465" s="28">
        <f t="shared" si="146"/>
        <v>584285</v>
      </c>
      <c r="P465" s="28">
        <f t="shared" si="146"/>
        <v>620798</v>
      </c>
      <c r="Q465" s="28">
        <f t="shared" si="146"/>
        <v>616699</v>
      </c>
      <c r="R465" s="28">
        <f t="shared" si="146"/>
        <v>633246</v>
      </c>
      <c r="S465" s="28">
        <f t="shared" si="146"/>
        <v>621175</v>
      </c>
      <c r="T465" s="28">
        <f t="shared" si="146"/>
        <v>691248</v>
      </c>
      <c r="U465" s="28">
        <f t="shared" si="146"/>
        <v>829926</v>
      </c>
      <c r="V465" s="28">
        <f t="shared" si="146"/>
        <v>884905</v>
      </c>
    </row>
    <row r="466" spans="1:22" ht="89.25" x14ac:dyDescent="0.2">
      <c r="A466" s="28" t="s">
        <v>457</v>
      </c>
      <c r="B466" s="28" t="s">
        <v>465</v>
      </c>
      <c r="C466" s="28">
        <f t="shared" ref="C466:V466" si="147">C468+C470+C472</f>
        <v>47298</v>
      </c>
      <c r="D466" s="28">
        <f t="shared" si="147"/>
        <v>51818</v>
      </c>
      <c r="E466" s="28">
        <f t="shared" si="147"/>
        <v>97419</v>
      </c>
      <c r="F466" s="28">
        <f t="shared" si="147"/>
        <v>118298</v>
      </c>
      <c r="G466" s="28">
        <f t="shared" si="147"/>
        <v>135643</v>
      </c>
      <c r="H466" s="28">
        <f t="shared" si="147"/>
        <v>136015</v>
      </c>
      <c r="I466" s="28">
        <f t="shared" si="147"/>
        <v>140488</v>
      </c>
      <c r="J466" s="28">
        <f t="shared" si="147"/>
        <v>142486</v>
      </c>
      <c r="K466" s="28">
        <f t="shared" si="147"/>
        <v>149651</v>
      </c>
      <c r="L466" s="28">
        <f t="shared" si="147"/>
        <v>128997</v>
      </c>
      <c r="M466" s="28">
        <f t="shared" si="147"/>
        <v>159549</v>
      </c>
      <c r="N466" s="28">
        <f t="shared" si="147"/>
        <v>166917</v>
      </c>
      <c r="O466" s="28">
        <f t="shared" si="147"/>
        <v>251207</v>
      </c>
      <c r="P466" s="28">
        <f t="shared" si="147"/>
        <v>284413</v>
      </c>
      <c r="Q466" s="28">
        <f t="shared" si="147"/>
        <v>314031</v>
      </c>
      <c r="R466" s="28">
        <f t="shared" si="147"/>
        <v>349675</v>
      </c>
      <c r="S466" s="28">
        <f t="shared" si="147"/>
        <v>363696</v>
      </c>
      <c r="T466" s="28">
        <f t="shared" si="147"/>
        <v>398957</v>
      </c>
      <c r="U466" s="28">
        <f t="shared" si="147"/>
        <v>422256</v>
      </c>
      <c r="V466" s="28">
        <f t="shared" si="147"/>
        <v>451340</v>
      </c>
    </row>
    <row r="467" spans="1:22" ht="63.75" x14ac:dyDescent="0.2">
      <c r="A467" s="28" t="s">
        <v>457</v>
      </c>
      <c r="B467" s="28" t="s">
        <v>466</v>
      </c>
      <c r="C467" s="28">
        <f t="shared" ref="C467:V467" si="148">+C473+C475+C477+C479+C481+C483+C485+C487+C489+C491+C493</f>
        <v>299084</v>
      </c>
      <c r="D467" s="28">
        <f t="shared" si="148"/>
        <v>321735</v>
      </c>
      <c r="E467" s="28">
        <f t="shared" si="148"/>
        <v>298138</v>
      </c>
      <c r="F467" s="28">
        <f t="shared" si="148"/>
        <v>278044</v>
      </c>
      <c r="G467" s="28">
        <f t="shared" si="148"/>
        <v>257160</v>
      </c>
      <c r="H467" s="28">
        <f t="shared" si="148"/>
        <v>252309</v>
      </c>
      <c r="I467" s="28">
        <f t="shared" si="148"/>
        <v>246966</v>
      </c>
      <c r="J467" s="28">
        <f t="shared" si="148"/>
        <v>277446</v>
      </c>
      <c r="K467" s="28">
        <f t="shared" si="148"/>
        <v>281034</v>
      </c>
      <c r="L467" s="28">
        <f t="shared" si="148"/>
        <v>373429</v>
      </c>
      <c r="M467" s="28">
        <f t="shared" si="148"/>
        <v>562470</v>
      </c>
      <c r="N467" s="28">
        <f t="shared" si="148"/>
        <v>497837</v>
      </c>
      <c r="O467" s="28">
        <f t="shared" si="148"/>
        <v>470908</v>
      </c>
      <c r="P467" s="28">
        <f t="shared" si="148"/>
        <v>513188</v>
      </c>
      <c r="Q467" s="28">
        <f t="shared" si="148"/>
        <v>519033</v>
      </c>
      <c r="R467" s="28">
        <f t="shared" si="148"/>
        <v>540975</v>
      </c>
      <c r="S467" s="28">
        <f t="shared" si="148"/>
        <v>532532</v>
      </c>
      <c r="T467" s="28">
        <f t="shared" si="148"/>
        <v>593528</v>
      </c>
      <c r="U467" s="28">
        <f t="shared" si="148"/>
        <v>717195</v>
      </c>
      <c r="V467" s="28">
        <f t="shared" si="148"/>
        <v>766343</v>
      </c>
    </row>
    <row r="468" spans="1:22" ht="63.75" x14ac:dyDescent="0.2">
      <c r="A468" s="28" t="s">
        <v>457</v>
      </c>
      <c r="B468" s="28" t="s">
        <v>467</v>
      </c>
      <c r="C468" s="28">
        <f t="shared" ref="C468:V468" si="149">+C474+C476+C478+C480+C482+C484+C486+C488+C490+C492+C494</f>
        <v>28013</v>
      </c>
      <c r="D468" s="28">
        <f t="shared" si="149"/>
        <v>28863</v>
      </c>
      <c r="E468" s="28">
        <f t="shared" si="149"/>
        <v>72820</v>
      </c>
      <c r="F468" s="28">
        <f t="shared" si="149"/>
        <v>93284</v>
      </c>
      <c r="G468" s="28">
        <f t="shared" si="149"/>
        <v>108988</v>
      </c>
      <c r="H468" s="28">
        <f t="shared" si="149"/>
        <v>110390</v>
      </c>
      <c r="I468" s="28">
        <f t="shared" si="149"/>
        <v>120300</v>
      </c>
      <c r="J468" s="28">
        <f t="shared" si="149"/>
        <v>124285</v>
      </c>
      <c r="K468" s="28">
        <f t="shared" si="149"/>
        <v>130961</v>
      </c>
      <c r="L468" s="28">
        <f t="shared" si="149"/>
        <v>108174</v>
      </c>
      <c r="M468" s="28">
        <f t="shared" si="149"/>
        <v>133622</v>
      </c>
      <c r="N468" s="28">
        <f t="shared" si="149"/>
        <v>137975</v>
      </c>
      <c r="O468" s="28">
        <f t="shared" si="149"/>
        <v>220579</v>
      </c>
      <c r="P468" s="28">
        <f t="shared" si="149"/>
        <v>252176</v>
      </c>
      <c r="Q468" s="28">
        <f t="shared" si="149"/>
        <v>282642</v>
      </c>
      <c r="R468" s="28">
        <f t="shared" si="149"/>
        <v>320134</v>
      </c>
      <c r="S468" s="28">
        <f t="shared" si="149"/>
        <v>335707</v>
      </c>
      <c r="T468" s="28">
        <f t="shared" si="149"/>
        <v>371542</v>
      </c>
      <c r="U468" s="28">
        <f t="shared" si="149"/>
        <v>397012</v>
      </c>
      <c r="V468" s="28">
        <f t="shared" si="149"/>
        <v>426498</v>
      </c>
    </row>
    <row r="469" spans="1:22" ht="63.75" x14ac:dyDescent="0.2">
      <c r="A469" s="28" t="s">
        <v>457</v>
      </c>
      <c r="B469" s="28" t="s">
        <v>468</v>
      </c>
      <c r="C469" s="28">
        <f t="shared" ref="C469:V469" si="150">C495+C504+C513</f>
        <v>70235</v>
      </c>
      <c r="D469" s="28">
        <f t="shared" si="150"/>
        <v>74238</v>
      </c>
      <c r="E469" s="28">
        <f t="shared" si="150"/>
        <v>79544</v>
      </c>
      <c r="F469" s="28">
        <f t="shared" si="150"/>
        <v>91788</v>
      </c>
      <c r="G469" s="28">
        <f t="shared" si="150"/>
        <v>82183</v>
      </c>
      <c r="H469" s="28">
        <f t="shared" si="150"/>
        <v>70825</v>
      </c>
      <c r="I469" s="28">
        <f t="shared" si="150"/>
        <v>64829</v>
      </c>
      <c r="J469" s="28">
        <f t="shared" si="150"/>
        <v>71794</v>
      </c>
      <c r="K469" s="28">
        <f t="shared" si="150"/>
        <v>90130</v>
      </c>
      <c r="L469" s="28">
        <f t="shared" si="150"/>
        <v>110909</v>
      </c>
      <c r="M469" s="28">
        <f t="shared" si="150"/>
        <v>119548</v>
      </c>
      <c r="N469" s="28">
        <f t="shared" si="150"/>
        <v>117712</v>
      </c>
      <c r="O469" s="28">
        <f t="shared" si="150"/>
        <v>102564</v>
      </c>
      <c r="P469" s="28">
        <f t="shared" si="150"/>
        <v>98615</v>
      </c>
      <c r="Q469" s="28">
        <f t="shared" si="150"/>
        <v>89158</v>
      </c>
      <c r="R469" s="28">
        <f t="shared" si="150"/>
        <v>84853</v>
      </c>
      <c r="S469" s="28">
        <f t="shared" si="150"/>
        <v>81830</v>
      </c>
      <c r="T469" s="28">
        <f t="shared" si="150"/>
        <v>90967</v>
      </c>
      <c r="U469" s="28">
        <f t="shared" si="150"/>
        <v>105698</v>
      </c>
      <c r="V469" s="28">
        <f t="shared" si="150"/>
        <v>110683</v>
      </c>
    </row>
    <row r="470" spans="1:22" ht="76.5" x14ac:dyDescent="0.2">
      <c r="A470" s="28" t="s">
        <v>457</v>
      </c>
      <c r="B470" s="28" t="s">
        <v>469</v>
      </c>
      <c r="C470" s="28">
        <f t="shared" ref="C470:V470" si="151">C496+C505+C514+C515</f>
        <v>17591</v>
      </c>
      <c r="D470" s="28">
        <f t="shared" si="151"/>
        <v>20958</v>
      </c>
      <c r="E470" s="28">
        <f t="shared" si="151"/>
        <v>22425</v>
      </c>
      <c r="F470" s="28">
        <f t="shared" si="151"/>
        <v>22864</v>
      </c>
      <c r="G470" s="28">
        <f t="shared" si="151"/>
        <v>23454</v>
      </c>
      <c r="H470" s="28">
        <f t="shared" si="151"/>
        <v>22333</v>
      </c>
      <c r="I470" s="28">
        <f t="shared" si="151"/>
        <v>19857</v>
      </c>
      <c r="J470" s="28">
        <f t="shared" si="151"/>
        <v>17237</v>
      </c>
      <c r="K470" s="28">
        <f t="shared" si="151"/>
        <v>17015</v>
      </c>
      <c r="L470" s="28">
        <f t="shared" si="151"/>
        <v>20079</v>
      </c>
      <c r="M470" s="28">
        <f t="shared" si="151"/>
        <v>23879</v>
      </c>
      <c r="N470" s="28">
        <f t="shared" si="151"/>
        <v>26458</v>
      </c>
      <c r="O470" s="28">
        <f t="shared" si="151"/>
        <v>27539</v>
      </c>
      <c r="P470" s="28">
        <f t="shared" si="151"/>
        <v>27862</v>
      </c>
      <c r="Q470" s="28">
        <f t="shared" si="151"/>
        <v>26617</v>
      </c>
      <c r="R470" s="28">
        <f t="shared" si="151"/>
        <v>25115</v>
      </c>
      <c r="S470" s="28">
        <f t="shared" si="151"/>
        <v>23676</v>
      </c>
      <c r="T470" s="28">
        <f t="shared" si="151"/>
        <v>23410</v>
      </c>
      <c r="U470" s="28">
        <f t="shared" si="151"/>
        <v>21679</v>
      </c>
      <c r="V470" s="28">
        <f t="shared" si="151"/>
        <v>21748</v>
      </c>
    </row>
    <row r="471" spans="1:22" ht="63.75" x14ac:dyDescent="0.2">
      <c r="A471" s="28" t="s">
        <v>457</v>
      </c>
      <c r="B471" s="28" t="s">
        <v>470</v>
      </c>
      <c r="C471" s="28">
        <f t="shared" ref="C471:V471" si="152">C516+C527</f>
        <v>3488</v>
      </c>
      <c r="D471" s="28">
        <f t="shared" si="152"/>
        <v>4232</v>
      </c>
      <c r="E471" s="28">
        <f t="shared" si="152"/>
        <v>4581</v>
      </c>
      <c r="F471" s="28">
        <f t="shared" si="152"/>
        <v>4566</v>
      </c>
      <c r="G471" s="28">
        <f t="shared" si="152"/>
        <v>2392</v>
      </c>
      <c r="H471" s="28">
        <f t="shared" si="152"/>
        <v>1782</v>
      </c>
      <c r="I471" s="28">
        <f t="shared" si="152"/>
        <v>4690</v>
      </c>
      <c r="J471" s="28">
        <f t="shared" si="152"/>
        <v>4738</v>
      </c>
      <c r="K471" s="28">
        <f t="shared" si="152"/>
        <v>5047</v>
      </c>
      <c r="L471" s="28">
        <f t="shared" si="152"/>
        <v>7663</v>
      </c>
      <c r="M471" s="28">
        <f t="shared" si="152"/>
        <v>7725</v>
      </c>
      <c r="N471" s="28">
        <f t="shared" si="152"/>
        <v>9555</v>
      </c>
      <c r="O471" s="28">
        <f t="shared" si="152"/>
        <v>9072</v>
      </c>
      <c r="P471" s="28">
        <f t="shared" si="152"/>
        <v>7994</v>
      </c>
      <c r="Q471" s="28">
        <f t="shared" si="152"/>
        <v>7438</v>
      </c>
      <c r="R471" s="28">
        <f t="shared" si="152"/>
        <v>6304</v>
      </c>
      <c r="S471" s="28">
        <f t="shared" si="152"/>
        <v>5469</v>
      </c>
      <c r="T471" s="28">
        <f t="shared" si="152"/>
        <v>5035</v>
      </c>
      <c r="U471" s="28">
        <f t="shared" si="152"/>
        <v>4727</v>
      </c>
      <c r="V471" s="28">
        <f t="shared" si="152"/>
        <v>4868</v>
      </c>
    </row>
    <row r="472" spans="1:22" ht="89.25" x14ac:dyDescent="0.2">
      <c r="A472" s="28" t="s">
        <v>457</v>
      </c>
      <c r="B472" s="28" t="s">
        <v>471</v>
      </c>
      <c r="C472" s="28">
        <f t="shared" ref="C472:V472" si="153">C517+C528</f>
        <v>1694</v>
      </c>
      <c r="D472" s="28">
        <f t="shared" si="153"/>
        <v>1997</v>
      </c>
      <c r="E472" s="28">
        <f t="shared" si="153"/>
        <v>2174</v>
      </c>
      <c r="F472" s="28">
        <f t="shared" si="153"/>
        <v>2150</v>
      </c>
      <c r="G472" s="28">
        <f t="shared" si="153"/>
        <v>3201</v>
      </c>
      <c r="H472" s="28">
        <f t="shared" si="153"/>
        <v>3292</v>
      </c>
      <c r="I472" s="28">
        <f t="shared" si="153"/>
        <v>331</v>
      </c>
      <c r="J472" s="28">
        <f t="shared" si="153"/>
        <v>964</v>
      </c>
      <c r="K472" s="28">
        <f t="shared" si="153"/>
        <v>1675</v>
      </c>
      <c r="L472" s="28">
        <f t="shared" si="153"/>
        <v>744</v>
      </c>
      <c r="M472" s="28">
        <f t="shared" si="153"/>
        <v>2048</v>
      </c>
      <c r="N472" s="28">
        <f t="shared" si="153"/>
        <v>2484</v>
      </c>
      <c r="O472" s="28">
        <f t="shared" si="153"/>
        <v>3089</v>
      </c>
      <c r="P472" s="28">
        <f t="shared" si="153"/>
        <v>4375</v>
      </c>
      <c r="Q472" s="28">
        <f t="shared" si="153"/>
        <v>4772</v>
      </c>
      <c r="R472" s="28">
        <f t="shared" si="153"/>
        <v>4426</v>
      </c>
      <c r="S472" s="28">
        <f t="shared" si="153"/>
        <v>4313</v>
      </c>
      <c r="T472" s="28">
        <f t="shared" si="153"/>
        <v>4005</v>
      </c>
      <c r="U472" s="28">
        <f t="shared" si="153"/>
        <v>3565</v>
      </c>
      <c r="V472" s="28">
        <f t="shared" si="153"/>
        <v>3094</v>
      </c>
    </row>
    <row r="473" spans="1:22" ht="89.25" x14ac:dyDescent="0.2">
      <c r="A473" s="28" t="s">
        <v>457</v>
      </c>
      <c r="B473" s="28" t="s">
        <v>472</v>
      </c>
      <c r="C473" s="28">
        <v>60568</v>
      </c>
      <c r="D473" s="28">
        <v>57296</v>
      </c>
      <c r="E473" s="28">
        <f>58107+4484</f>
        <v>62591</v>
      </c>
      <c r="F473" s="28">
        <v>62691</v>
      </c>
      <c r="G473" s="28">
        <v>60225</v>
      </c>
      <c r="H473" s="28">
        <v>60423</v>
      </c>
      <c r="I473" s="28">
        <v>63029</v>
      </c>
      <c r="J473" s="28">
        <v>79054</v>
      </c>
      <c r="K473" s="28">
        <f>94538</f>
        <v>94538</v>
      </c>
      <c r="L473" s="28">
        <v>181678</v>
      </c>
      <c r="M473" s="28">
        <f>237796</f>
        <v>237796</v>
      </c>
      <c r="N473" s="28">
        <f>89329</f>
        <v>89329</v>
      </c>
      <c r="O473" s="28">
        <f>59649</f>
        <v>59649</v>
      </c>
      <c r="P473" s="28">
        <v>49422</v>
      </c>
      <c r="Q473" s="28">
        <v>45558</v>
      </c>
      <c r="R473" s="28">
        <v>40068</v>
      </c>
      <c r="S473" s="28">
        <v>33398</v>
      </c>
      <c r="T473" s="28">
        <f>32173</f>
        <v>32173</v>
      </c>
      <c r="U473" s="28">
        <f>39718-4341</f>
        <v>35377</v>
      </c>
      <c r="V473" s="28">
        <v>31232</v>
      </c>
    </row>
    <row r="474" spans="1:22" ht="63.75" x14ac:dyDescent="0.2">
      <c r="A474" s="28" t="s">
        <v>457</v>
      </c>
      <c r="B474" s="28" t="s">
        <v>473</v>
      </c>
      <c r="C474" s="28">
        <v>28013</v>
      </c>
      <c r="D474" s="28">
        <v>28863</v>
      </c>
      <c r="E474" s="28">
        <v>31493</v>
      </c>
      <c r="F474" s="28">
        <v>35125</v>
      </c>
      <c r="G474" s="28">
        <v>36272</v>
      </c>
      <c r="H474" s="28">
        <v>34925</v>
      </c>
      <c r="I474" s="28">
        <v>41085</v>
      </c>
      <c r="J474" s="28">
        <v>40895</v>
      </c>
      <c r="K474" s="28">
        <v>52013</v>
      </c>
      <c r="L474" s="28">
        <v>46341</v>
      </c>
      <c r="M474" s="28">
        <v>57058</v>
      </c>
      <c r="N474" s="28">
        <v>40829</v>
      </c>
      <c r="O474" s="28">
        <v>33785</v>
      </c>
      <c r="P474" s="28">
        <v>30028</v>
      </c>
      <c r="Q474" s="28">
        <v>30540</v>
      </c>
      <c r="R474" s="28">
        <v>31741</v>
      </c>
      <c r="S474" s="28">
        <v>24033</v>
      </c>
      <c r="T474" s="28">
        <v>27351</v>
      </c>
      <c r="U474" s="28">
        <v>25742</v>
      </c>
      <c r="V474" s="28">
        <v>24123</v>
      </c>
    </row>
    <row r="475" spans="1:22" ht="63.75" x14ac:dyDescent="0.2">
      <c r="A475" s="28" t="s">
        <v>457</v>
      </c>
      <c r="B475" s="28" t="s">
        <v>474</v>
      </c>
      <c r="C475" s="28"/>
      <c r="D475" s="28"/>
      <c r="E475" s="28"/>
      <c r="F475" s="28"/>
      <c r="G475" s="28"/>
      <c r="H475" s="28"/>
      <c r="I475" s="28"/>
      <c r="J475" s="28"/>
      <c r="K475" s="28"/>
      <c r="L475" s="28"/>
      <c r="M475" s="28">
        <v>142760</v>
      </c>
      <c r="N475" s="28">
        <v>222397</v>
      </c>
      <c r="O475" s="28">
        <f>202389</f>
        <v>202389</v>
      </c>
      <c r="P475" s="28">
        <v>258210</v>
      </c>
      <c r="Q475" s="28">
        <v>262479</v>
      </c>
      <c r="R475" s="28">
        <v>297385</v>
      </c>
      <c r="S475" s="28">
        <f>307731</f>
        <v>307731</v>
      </c>
      <c r="T475" s="28">
        <v>372185</v>
      </c>
      <c r="U475" s="28">
        <f>514886-27561</f>
        <v>487325</v>
      </c>
      <c r="V475" s="28">
        <v>545547</v>
      </c>
    </row>
    <row r="476" spans="1:22" ht="63.75" x14ac:dyDescent="0.2">
      <c r="A476" s="28" t="s">
        <v>457</v>
      </c>
      <c r="B476" s="28" t="s">
        <v>475</v>
      </c>
      <c r="C476" s="28"/>
      <c r="D476" s="28"/>
      <c r="E476" s="28"/>
      <c r="F476" s="28"/>
      <c r="G476" s="28"/>
      <c r="H476" s="28"/>
      <c r="I476" s="28"/>
      <c r="J476" s="28"/>
      <c r="K476" s="28"/>
      <c r="L476" s="28"/>
      <c r="M476" s="28"/>
      <c r="N476" s="28"/>
      <c r="O476" s="28">
        <v>73023</v>
      </c>
      <c r="P476" s="28">
        <v>90523</v>
      </c>
      <c r="Q476" s="28">
        <v>105681</v>
      </c>
      <c r="R476" s="28">
        <v>126818</v>
      </c>
      <c r="S476" s="28">
        <v>145438</v>
      </c>
      <c r="T476" s="28">
        <v>164661</v>
      </c>
      <c r="U476" s="28">
        <v>180562</v>
      </c>
      <c r="V476" s="28">
        <v>202609</v>
      </c>
    </row>
    <row r="477" spans="1:22" ht="63.75" x14ac:dyDescent="0.2">
      <c r="A477" s="28" t="s">
        <v>457</v>
      </c>
      <c r="B477" s="28" t="s">
        <v>476</v>
      </c>
      <c r="C477" s="28">
        <v>4959</v>
      </c>
      <c r="D477" s="28">
        <v>5099</v>
      </c>
      <c r="E477" s="28">
        <v>4939</v>
      </c>
      <c r="F477" s="28">
        <v>4791</v>
      </c>
      <c r="G477" s="28">
        <v>5077</v>
      </c>
      <c r="H477" s="28">
        <v>4876</v>
      </c>
      <c r="I477" s="28">
        <v>5680</v>
      </c>
      <c r="J477" s="28">
        <v>4885</v>
      </c>
      <c r="K477" s="28">
        <v>8040</v>
      </c>
      <c r="L477" s="28">
        <v>8001</v>
      </c>
      <c r="M477" s="28">
        <v>8558</v>
      </c>
      <c r="N477" s="28">
        <v>7543</v>
      </c>
      <c r="O477" s="28">
        <v>7269</v>
      </c>
      <c r="P477" s="28">
        <v>7334</v>
      </c>
      <c r="Q477" s="28">
        <v>6832</v>
      </c>
      <c r="R477" s="28">
        <v>6642</v>
      </c>
      <c r="S477" s="28">
        <v>6410</v>
      </c>
      <c r="T477" s="28">
        <v>6693</v>
      </c>
      <c r="U477" s="28">
        <v>6678</v>
      </c>
      <c r="V477" s="28">
        <v>6622</v>
      </c>
    </row>
    <row r="478" spans="1:22" ht="63.75" x14ac:dyDescent="0.2">
      <c r="A478" s="28" t="s">
        <v>457</v>
      </c>
      <c r="B478" s="28" t="s">
        <v>477</v>
      </c>
      <c r="C478" s="28"/>
      <c r="D478" s="28"/>
      <c r="E478" s="28"/>
      <c r="F478" s="28">
        <v>373</v>
      </c>
      <c r="G478" s="28">
        <v>449</v>
      </c>
      <c r="H478" s="28">
        <v>454</v>
      </c>
      <c r="I478" s="28">
        <v>316</v>
      </c>
      <c r="J478" s="28">
        <v>1856</v>
      </c>
      <c r="K478" s="28">
        <v>252</v>
      </c>
      <c r="L478" s="28">
        <v>287</v>
      </c>
      <c r="M478" s="28">
        <v>232</v>
      </c>
      <c r="N478" s="28">
        <v>189</v>
      </c>
      <c r="O478" s="28">
        <v>194</v>
      </c>
      <c r="P478" s="28">
        <v>254</v>
      </c>
      <c r="Q478" s="28">
        <v>234</v>
      </c>
      <c r="R478" s="28">
        <v>296</v>
      </c>
      <c r="S478" s="28">
        <v>336</v>
      </c>
      <c r="T478" s="28">
        <v>351</v>
      </c>
      <c r="U478" s="28">
        <v>359</v>
      </c>
      <c r="V478" s="28">
        <v>412</v>
      </c>
    </row>
    <row r="479" spans="1:22" ht="63.75" x14ac:dyDescent="0.2">
      <c r="A479" s="28" t="s">
        <v>457</v>
      </c>
      <c r="B479" s="28" t="s">
        <v>478</v>
      </c>
      <c r="C479" s="28">
        <v>15280</v>
      </c>
      <c r="D479" s="28">
        <v>17926</v>
      </c>
      <c r="E479" s="28">
        <v>17727</v>
      </c>
      <c r="F479" s="28">
        <v>17512</v>
      </c>
      <c r="G479" s="28">
        <v>15921</v>
      </c>
      <c r="H479" s="28">
        <v>14481</v>
      </c>
      <c r="I479" s="28">
        <v>14144</v>
      </c>
      <c r="J479" s="28">
        <v>13388</v>
      </c>
      <c r="K479" s="28">
        <v>14509</v>
      </c>
      <c r="L479" s="28">
        <f>14877</f>
        <v>14877</v>
      </c>
      <c r="M479" s="28">
        <v>15822</v>
      </c>
      <c r="N479" s="28">
        <v>17487</v>
      </c>
      <c r="O479" s="28">
        <v>17958</v>
      </c>
      <c r="P479" s="28">
        <v>18857</v>
      </c>
      <c r="Q479" s="28">
        <v>18996</v>
      </c>
      <c r="R479" s="28">
        <v>19241</v>
      </c>
      <c r="S479" s="28">
        <v>19355</v>
      </c>
      <c r="T479" s="28">
        <v>20048</v>
      </c>
      <c r="U479" s="28">
        <v>21451</v>
      </c>
      <c r="V479" s="28">
        <v>21532</v>
      </c>
    </row>
    <row r="480" spans="1:22" ht="63.75" x14ac:dyDescent="0.2">
      <c r="A480" s="28" t="s">
        <v>457</v>
      </c>
      <c r="B480" s="28" t="s">
        <v>479</v>
      </c>
      <c r="C480" s="28"/>
      <c r="D480" s="28"/>
      <c r="E480" s="28">
        <v>358</v>
      </c>
      <c r="F480" s="28">
        <v>614</v>
      </c>
      <c r="G480" s="28">
        <v>742</v>
      </c>
      <c r="H480" s="28">
        <v>662</v>
      </c>
      <c r="I480" s="28">
        <v>616</v>
      </c>
      <c r="J480" s="28">
        <v>527</v>
      </c>
      <c r="K480" s="28">
        <v>371</v>
      </c>
      <c r="L480" s="28">
        <v>153</v>
      </c>
      <c r="M480" s="28">
        <v>252</v>
      </c>
      <c r="N480" s="28">
        <v>220</v>
      </c>
      <c r="O480" s="28">
        <v>262</v>
      </c>
      <c r="P480" s="28">
        <v>253</v>
      </c>
      <c r="Q480" s="28">
        <v>213</v>
      </c>
      <c r="R480" s="28">
        <v>242</v>
      </c>
      <c r="S480" s="28">
        <v>259</v>
      </c>
      <c r="T480" s="28">
        <v>308</v>
      </c>
      <c r="U480" s="28">
        <v>311</v>
      </c>
      <c r="V480" s="28">
        <v>268</v>
      </c>
    </row>
    <row r="481" spans="1:22" ht="89.25" x14ac:dyDescent="0.2">
      <c r="A481" s="28" t="s">
        <v>457</v>
      </c>
      <c r="B481" s="28" t="s">
        <v>480</v>
      </c>
      <c r="C481" s="28">
        <v>41088</v>
      </c>
      <c r="D481" s="28">
        <v>31473</v>
      </c>
      <c r="E481" s="28">
        <v>35614</v>
      </c>
      <c r="F481" s="28">
        <v>43761</v>
      </c>
      <c r="G481" s="28">
        <v>45429</v>
      </c>
      <c r="H481" s="28">
        <v>53319</v>
      </c>
      <c r="I481" s="28">
        <v>49720</v>
      </c>
      <c r="J481" s="28">
        <v>65612</v>
      </c>
      <c r="K481" s="28">
        <v>46078</v>
      </c>
      <c r="L481" s="28">
        <v>34413</v>
      </c>
      <c r="M481" s="28">
        <v>28838</v>
      </c>
      <c r="N481" s="28">
        <v>26727</v>
      </c>
      <c r="O481" s="28">
        <v>18695</v>
      </c>
      <c r="P481" s="28">
        <v>10954</v>
      </c>
      <c r="Q481" s="28">
        <v>14522</v>
      </c>
      <c r="R481" s="28">
        <v>16562</v>
      </c>
      <c r="S481" s="28">
        <f>15798-233</f>
        <v>15565</v>
      </c>
      <c r="T481" s="28">
        <v>13961</v>
      </c>
      <c r="U481" s="28">
        <v>14380</v>
      </c>
      <c r="V481" s="28">
        <v>11897</v>
      </c>
    </row>
    <row r="482" spans="1:22" ht="89.25" x14ac:dyDescent="0.2">
      <c r="A482" s="28" t="s">
        <v>457</v>
      </c>
      <c r="B482" s="28" t="s">
        <v>481</v>
      </c>
      <c r="C482" s="28"/>
      <c r="D482" s="28"/>
      <c r="E482" s="28"/>
      <c r="F482" s="28"/>
      <c r="G482" s="28"/>
      <c r="H482" s="28"/>
      <c r="I482" s="28"/>
      <c r="J482" s="28"/>
      <c r="K482" s="28"/>
      <c r="L482" s="28"/>
      <c r="M482" s="28"/>
      <c r="N482" s="28"/>
      <c r="O482" s="28">
        <f>177+3084</f>
        <v>3261</v>
      </c>
      <c r="P482" s="28">
        <v>2229</v>
      </c>
      <c r="Q482" s="28">
        <v>1328</v>
      </c>
      <c r="R482" s="28">
        <v>1178</v>
      </c>
      <c r="S482" s="28">
        <v>2667</v>
      </c>
      <c r="T482" s="28">
        <v>4232</v>
      </c>
      <c r="U482" s="28">
        <v>6621</v>
      </c>
      <c r="V482" s="28">
        <v>5940</v>
      </c>
    </row>
    <row r="483" spans="1:22" ht="63.75" x14ac:dyDescent="0.2">
      <c r="A483" s="28" t="s">
        <v>457</v>
      </c>
      <c r="B483" s="28" t="s">
        <v>482</v>
      </c>
      <c r="C483" s="28">
        <v>28141</v>
      </c>
      <c r="D483" s="28">
        <v>23839</v>
      </c>
      <c r="E483" s="28">
        <v>24158</v>
      </c>
      <c r="F483" s="28">
        <v>27428</v>
      </c>
      <c r="G483" s="28">
        <v>22818</v>
      </c>
      <c r="H483" s="28">
        <v>24860</v>
      </c>
      <c r="I483" s="28">
        <v>24022</v>
      </c>
      <c r="J483" s="28">
        <v>26675</v>
      </c>
      <c r="K483" s="28">
        <v>26633</v>
      </c>
      <c r="L483" s="28">
        <f>25502</f>
        <v>25502</v>
      </c>
      <c r="M483" s="28">
        <v>30301</v>
      </c>
      <c r="N483" s="28">
        <v>35389</v>
      </c>
      <c r="O483" s="28">
        <v>37242</v>
      </c>
      <c r="P483" s="28">
        <f>37703</f>
        <v>37703</v>
      </c>
      <c r="Q483" s="28">
        <f>38755-217</f>
        <v>38538</v>
      </c>
      <c r="R483" s="28">
        <v>39069</v>
      </c>
      <c r="S483" s="28">
        <v>39108</v>
      </c>
      <c r="T483" s="28">
        <v>38107</v>
      </c>
      <c r="U483" s="28">
        <v>42677</v>
      </c>
      <c r="V483" s="28">
        <v>45751</v>
      </c>
    </row>
    <row r="484" spans="1:22" ht="63.75" x14ac:dyDescent="0.2">
      <c r="A484" s="28" t="s">
        <v>457</v>
      </c>
      <c r="B484" s="28" t="s">
        <v>483</v>
      </c>
      <c r="C484" s="28"/>
      <c r="D484" s="28"/>
      <c r="E484" s="28">
        <v>2340</v>
      </c>
      <c r="F484" s="28">
        <v>2725</v>
      </c>
      <c r="G484" s="28">
        <v>7305</v>
      </c>
      <c r="H484" s="28">
        <v>4537</v>
      </c>
      <c r="I484" s="28">
        <v>3960</v>
      </c>
      <c r="J484" s="28">
        <v>4518</v>
      </c>
      <c r="K484" s="28">
        <v>3901</v>
      </c>
      <c r="L484" s="28">
        <v>3955</v>
      </c>
      <c r="M484" s="28">
        <v>4502</v>
      </c>
      <c r="N484" s="28">
        <v>4675</v>
      </c>
      <c r="O484" s="28">
        <v>4956</v>
      </c>
      <c r="P484" s="28">
        <v>6009</v>
      </c>
      <c r="Q484" s="28">
        <v>5826</v>
      </c>
      <c r="R484" s="28">
        <v>6751</v>
      </c>
      <c r="S484" s="28">
        <v>5248</v>
      </c>
      <c r="T484" s="28">
        <v>6515</v>
      </c>
      <c r="U484" s="28">
        <v>5414</v>
      </c>
      <c r="V484" s="28">
        <v>6222</v>
      </c>
    </row>
    <row r="485" spans="1:22" ht="76.5" x14ac:dyDescent="0.2">
      <c r="A485" s="28" t="s">
        <v>457</v>
      </c>
      <c r="B485" s="28" t="s">
        <v>484</v>
      </c>
      <c r="C485" s="28">
        <v>28868</v>
      </c>
      <c r="D485" s="28">
        <v>26553</v>
      </c>
      <c r="E485" s="28">
        <v>26157</v>
      </c>
      <c r="F485" s="28">
        <v>28193</v>
      </c>
      <c r="G485" s="28">
        <v>28770</v>
      </c>
      <c r="H485" s="28">
        <v>27232</v>
      </c>
      <c r="I485" s="28">
        <v>27999</v>
      </c>
      <c r="J485" s="28">
        <v>25612</v>
      </c>
      <c r="K485" s="28">
        <v>24301</v>
      </c>
      <c r="L485" s="28">
        <v>24160</v>
      </c>
      <c r="M485" s="28">
        <v>25878</v>
      </c>
      <c r="N485" s="28">
        <v>26834</v>
      </c>
      <c r="O485" s="28">
        <v>26701</v>
      </c>
      <c r="P485" s="28">
        <v>23096</v>
      </c>
      <c r="Q485" s="28">
        <v>22528</v>
      </c>
      <c r="R485" s="28">
        <v>23156</v>
      </c>
      <c r="S485" s="28">
        <v>21464</v>
      </c>
      <c r="T485" s="28">
        <v>23217</v>
      </c>
      <c r="U485" s="28">
        <v>24368</v>
      </c>
      <c r="V485" s="28">
        <v>23185</v>
      </c>
    </row>
    <row r="486" spans="1:22" ht="76.5" x14ac:dyDescent="0.2">
      <c r="A486" s="28" t="s">
        <v>457</v>
      </c>
      <c r="B486" s="28" t="s">
        <v>485</v>
      </c>
      <c r="C486" s="28">
        <v>0</v>
      </c>
      <c r="D486" s="28">
        <v>0</v>
      </c>
      <c r="E486" s="28">
        <v>0</v>
      </c>
      <c r="F486" s="28">
        <v>0</v>
      </c>
      <c r="G486" s="28">
        <v>0</v>
      </c>
      <c r="H486" s="28">
        <v>0</v>
      </c>
      <c r="I486" s="28">
        <v>0</v>
      </c>
      <c r="J486" s="28">
        <v>0</v>
      </c>
      <c r="K486" s="28">
        <v>0</v>
      </c>
      <c r="L486" s="28">
        <v>0</v>
      </c>
      <c r="M486" s="28">
        <v>0</v>
      </c>
      <c r="N486" s="28">
        <v>0</v>
      </c>
      <c r="O486" s="28">
        <v>0</v>
      </c>
      <c r="P486" s="28">
        <v>0</v>
      </c>
      <c r="Q486" s="28">
        <v>0</v>
      </c>
      <c r="R486" s="28">
        <v>0</v>
      </c>
      <c r="S486" s="28">
        <v>0</v>
      </c>
      <c r="T486" s="28">
        <v>0</v>
      </c>
      <c r="U486" s="28">
        <v>0</v>
      </c>
      <c r="V486" s="28">
        <v>0</v>
      </c>
    </row>
    <row r="487" spans="1:22" ht="63.75" x14ac:dyDescent="0.2">
      <c r="A487" s="28" t="s">
        <v>457</v>
      </c>
      <c r="B487" s="28" t="s">
        <v>486</v>
      </c>
      <c r="C487" s="28">
        <v>56139</v>
      </c>
      <c r="D487" s="28">
        <v>87608</v>
      </c>
      <c r="E487" s="28">
        <v>85857</v>
      </c>
      <c r="F487" s="28">
        <v>61809</v>
      </c>
      <c r="G487" s="28">
        <v>50423</v>
      </c>
      <c r="H487" s="28">
        <v>36795</v>
      </c>
      <c r="I487" s="28">
        <v>30024</v>
      </c>
      <c r="J487" s="28">
        <v>29435</v>
      </c>
      <c r="K487" s="28">
        <v>30002</v>
      </c>
      <c r="L487" s="28">
        <v>27359</v>
      </c>
      <c r="M487" s="28">
        <v>22415</v>
      </c>
      <c r="N487" s="28">
        <v>18827</v>
      </c>
      <c r="O487" s="28">
        <v>21978</v>
      </c>
      <c r="P487" s="28">
        <f>25366</f>
        <v>25366</v>
      </c>
      <c r="Q487" s="28">
        <v>25522</v>
      </c>
      <c r="R487" s="28">
        <v>29475</v>
      </c>
      <c r="S487" s="28">
        <v>30399</v>
      </c>
      <c r="T487" s="28">
        <v>30414</v>
      </c>
      <c r="U487" s="28">
        <v>27544</v>
      </c>
      <c r="V487" s="28">
        <v>25363</v>
      </c>
    </row>
    <row r="488" spans="1:22" ht="63.75" x14ac:dyDescent="0.2">
      <c r="A488" s="28" t="s">
        <v>457</v>
      </c>
      <c r="B488" s="28" t="s">
        <v>487</v>
      </c>
      <c r="C488" s="28">
        <v>0</v>
      </c>
      <c r="D488" s="28">
        <v>0</v>
      </c>
      <c r="E488" s="28">
        <v>0</v>
      </c>
      <c r="F488" s="28">
        <v>0</v>
      </c>
      <c r="G488" s="28">
        <v>0</v>
      </c>
      <c r="H488" s="28">
        <v>0</v>
      </c>
      <c r="I488" s="28">
        <v>0</v>
      </c>
      <c r="J488" s="28">
        <v>0</v>
      </c>
      <c r="K488" s="28">
        <v>0</v>
      </c>
      <c r="L488" s="28">
        <v>0</v>
      </c>
      <c r="M488" s="28">
        <v>0</v>
      </c>
      <c r="N488" s="28">
        <v>0</v>
      </c>
      <c r="O488" s="28">
        <v>0</v>
      </c>
      <c r="P488" s="28">
        <v>0</v>
      </c>
      <c r="Q488" s="28">
        <v>0</v>
      </c>
      <c r="R488" s="28">
        <v>0</v>
      </c>
      <c r="S488" s="28">
        <v>19</v>
      </c>
      <c r="T488" s="28">
        <v>48</v>
      </c>
      <c r="U488" s="28">
        <v>43</v>
      </c>
      <c r="V488" s="28">
        <v>74</v>
      </c>
    </row>
    <row r="489" spans="1:22" ht="76.5" x14ac:dyDescent="0.2">
      <c r="A489" s="28" t="s">
        <v>457</v>
      </c>
      <c r="B489" s="28" t="s">
        <v>488</v>
      </c>
      <c r="C489" s="28">
        <v>52728</v>
      </c>
      <c r="D489" s="28">
        <v>57981</v>
      </c>
      <c r="E489" s="28">
        <v>26782</v>
      </c>
      <c r="F489" s="28">
        <v>17912</v>
      </c>
      <c r="G489" s="28">
        <v>17163</v>
      </c>
      <c r="H489" s="28">
        <v>19002</v>
      </c>
      <c r="I489" s="28">
        <v>20355</v>
      </c>
      <c r="J489" s="28">
        <v>21485</v>
      </c>
      <c r="K489" s="28">
        <v>24931</v>
      </c>
      <c r="L489" s="28">
        <v>44069</v>
      </c>
      <c r="M489" s="28">
        <v>38122</v>
      </c>
      <c r="N489" s="28">
        <v>31988</v>
      </c>
      <c r="O489" s="28">
        <v>33312</v>
      </c>
      <c r="P489" s="28">
        <f>35430</f>
        <v>35430</v>
      </c>
      <c r="Q489" s="28">
        <v>32726</v>
      </c>
      <c r="R489" s="28">
        <v>24694</v>
      </c>
      <c r="S489" s="28">
        <v>23700</v>
      </c>
      <c r="T489" s="28">
        <v>23568</v>
      </c>
      <c r="U489" s="28">
        <v>23290</v>
      </c>
      <c r="V489" s="28">
        <v>22752</v>
      </c>
    </row>
    <row r="490" spans="1:22" ht="76.5" x14ac:dyDescent="0.2">
      <c r="A490" s="28" t="s">
        <v>457</v>
      </c>
      <c r="B490" s="28" t="s">
        <v>489</v>
      </c>
      <c r="C490" s="28"/>
      <c r="D490" s="28"/>
      <c r="E490" s="28">
        <v>38629</v>
      </c>
      <c r="F490" s="28">
        <v>54447</v>
      </c>
      <c r="G490" s="28">
        <v>64220</v>
      </c>
      <c r="H490" s="28">
        <v>69812</v>
      </c>
      <c r="I490" s="28">
        <v>74323</v>
      </c>
      <c r="J490" s="28">
        <v>76489</v>
      </c>
      <c r="K490" s="28">
        <v>74424</v>
      </c>
      <c r="L490" s="28">
        <v>57438</v>
      </c>
      <c r="M490" s="28">
        <v>71578</v>
      </c>
      <c r="N490" s="28">
        <v>92062</v>
      </c>
      <c r="O490" s="28">
        <v>105098</v>
      </c>
      <c r="P490" s="28">
        <v>122126</v>
      </c>
      <c r="Q490" s="28">
        <v>138820</v>
      </c>
      <c r="R490" s="28">
        <v>147351</v>
      </c>
      <c r="S490" s="28">
        <v>147064</v>
      </c>
      <c r="T490" s="28">
        <v>154619</v>
      </c>
      <c r="U490" s="28">
        <v>162399</v>
      </c>
      <c r="V490" s="28">
        <v>168497</v>
      </c>
    </row>
    <row r="491" spans="1:22" ht="76.5" x14ac:dyDescent="0.2">
      <c r="A491" s="28" t="s">
        <v>457</v>
      </c>
      <c r="B491" s="28" t="s">
        <v>490</v>
      </c>
      <c r="C491" s="28">
        <v>9756</v>
      </c>
      <c r="D491" s="28">
        <v>11600</v>
      </c>
      <c r="E491" s="28">
        <v>11373</v>
      </c>
      <c r="F491" s="28">
        <v>10789</v>
      </c>
      <c r="G491" s="28">
        <v>8085</v>
      </c>
      <c r="H491" s="28">
        <v>8441</v>
      </c>
      <c r="I491" s="28">
        <v>8923</v>
      </c>
      <c r="J491" s="28">
        <v>7617</v>
      </c>
      <c r="K491" s="28">
        <v>7967</v>
      </c>
      <c r="L491" s="28">
        <v>9557</v>
      </c>
      <c r="M491" s="28">
        <v>9813</v>
      </c>
      <c r="N491" s="28">
        <v>18242</v>
      </c>
      <c r="O491" s="28">
        <v>42584</v>
      </c>
      <c r="P491" s="28">
        <v>44446</v>
      </c>
      <c r="Q491" s="28">
        <v>48221</v>
      </c>
      <c r="R491" s="28">
        <v>41515</v>
      </c>
      <c r="S491" s="28">
        <v>31905</v>
      </c>
      <c r="T491" s="28">
        <v>29336</v>
      </c>
      <c r="U491" s="28">
        <v>30986</v>
      </c>
      <c r="V491" s="28">
        <v>28644</v>
      </c>
    </row>
    <row r="492" spans="1:22" ht="76.5" x14ac:dyDescent="0.2">
      <c r="A492" s="28" t="s">
        <v>457</v>
      </c>
      <c r="B492" s="28" t="s">
        <v>491</v>
      </c>
      <c r="C492" s="28"/>
      <c r="D492" s="28"/>
      <c r="E492" s="28"/>
      <c r="F492" s="28"/>
      <c r="G492" s="28"/>
      <c r="H492" s="28"/>
      <c r="I492" s="28"/>
      <c r="J492" s="28"/>
      <c r="K492" s="28"/>
      <c r="L492" s="28"/>
      <c r="M492" s="28"/>
      <c r="N492" s="28"/>
      <c r="O492" s="28"/>
      <c r="P492" s="28"/>
      <c r="Q492" s="28"/>
      <c r="R492" s="28">
        <v>5757</v>
      </c>
      <c r="S492" s="28">
        <v>10643</v>
      </c>
      <c r="T492" s="28">
        <v>13457</v>
      </c>
      <c r="U492" s="28">
        <v>14541</v>
      </c>
      <c r="V492" s="28">
        <v>17314</v>
      </c>
    </row>
    <row r="493" spans="1:22" ht="63.75" x14ac:dyDescent="0.2">
      <c r="A493" s="28" t="s">
        <v>457</v>
      </c>
      <c r="B493" s="28" t="s">
        <v>492</v>
      </c>
      <c r="C493" s="28">
        <v>1557</v>
      </c>
      <c r="D493" s="28">
        <v>2360</v>
      </c>
      <c r="E493" s="28">
        <v>2940</v>
      </c>
      <c r="F493" s="28">
        <v>3158</v>
      </c>
      <c r="G493" s="28">
        <v>3249</v>
      </c>
      <c r="H493" s="28">
        <v>2880</v>
      </c>
      <c r="I493" s="28">
        <v>3070</v>
      </c>
      <c r="J493" s="28">
        <v>3683</v>
      </c>
      <c r="K493" s="28">
        <v>4035</v>
      </c>
      <c r="L493" s="28">
        <v>3813</v>
      </c>
      <c r="M493" s="28">
        <v>2167</v>
      </c>
      <c r="N493" s="28">
        <v>3074</v>
      </c>
      <c r="O493" s="28">
        <v>3131</v>
      </c>
      <c r="P493" s="28">
        <v>2370</v>
      </c>
      <c r="Q493" s="28">
        <v>3111</v>
      </c>
      <c r="R493" s="28">
        <v>3168</v>
      </c>
      <c r="S493" s="28">
        <v>3497</v>
      </c>
      <c r="T493" s="28">
        <v>3826</v>
      </c>
      <c r="U493" s="28">
        <v>3119</v>
      </c>
      <c r="V493" s="28">
        <v>3818</v>
      </c>
    </row>
    <row r="494" spans="1:22" ht="63.75" x14ac:dyDescent="0.2">
      <c r="A494" s="28" t="s">
        <v>457</v>
      </c>
      <c r="B494" s="28" t="s">
        <v>493</v>
      </c>
      <c r="C494" s="28"/>
      <c r="D494" s="28"/>
      <c r="E494" s="28"/>
      <c r="F494" s="28"/>
      <c r="G494" s="28"/>
      <c r="H494" s="28"/>
      <c r="I494" s="28"/>
      <c r="J494" s="28"/>
      <c r="K494" s="28"/>
      <c r="L494" s="28"/>
      <c r="M494" s="28"/>
      <c r="N494" s="28"/>
      <c r="O494" s="28"/>
      <c r="P494" s="28">
        <v>754</v>
      </c>
      <c r="Q494" s="28">
        <v>0</v>
      </c>
      <c r="R494" s="28">
        <v>0</v>
      </c>
      <c r="S494" s="28">
        <v>0</v>
      </c>
      <c r="T494" s="28">
        <v>0</v>
      </c>
      <c r="U494" s="28">
        <v>1020</v>
      </c>
      <c r="V494" s="28">
        <v>1039</v>
      </c>
    </row>
    <row r="495" spans="1:22" ht="63.75" x14ac:dyDescent="0.2">
      <c r="A495" s="28" t="s">
        <v>457</v>
      </c>
      <c r="B495" s="28" t="s">
        <v>494</v>
      </c>
      <c r="C495" s="28">
        <v>4407</v>
      </c>
      <c r="D495" s="28">
        <v>5614</v>
      </c>
      <c r="E495" s="28">
        <v>6940</v>
      </c>
      <c r="F495" s="28">
        <v>7289</v>
      </c>
      <c r="G495" s="28">
        <v>7367</v>
      </c>
      <c r="H495" s="28">
        <v>8641</v>
      </c>
      <c r="I495" s="28">
        <v>9180</v>
      </c>
      <c r="J495" s="28">
        <v>9107</v>
      </c>
      <c r="K495" s="28">
        <v>8790</v>
      </c>
      <c r="L495" s="28">
        <v>10290</v>
      </c>
      <c r="M495" s="28">
        <v>12387</v>
      </c>
      <c r="N495" s="28">
        <v>14117</v>
      </c>
      <c r="O495" s="28">
        <v>16166</v>
      </c>
      <c r="P495" s="28">
        <v>17392</v>
      </c>
      <c r="Q495" s="28">
        <v>18107</v>
      </c>
      <c r="R495" s="28">
        <v>20984</v>
      </c>
      <c r="S495" s="28">
        <f>22901</f>
        <v>22901</v>
      </c>
      <c r="T495" s="28">
        <v>23281</v>
      </c>
      <c r="U495" s="28">
        <v>20198</v>
      </c>
      <c r="V495" s="28">
        <v>19742</v>
      </c>
    </row>
    <row r="496" spans="1:22" ht="76.5" x14ac:dyDescent="0.2">
      <c r="A496" s="28" t="s">
        <v>457</v>
      </c>
      <c r="B496" s="28" t="s">
        <v>495</v>
      </c>
      <c r="C496" s="28">
        <f t="shared" ref="C496:V496" si="154">SUM(C497:C503)</f>
        <v>4137</v>
      </c>
      <c r="D496" s="28">
        <f t="shared" si="154"/>
        <v>3465</v>
      </c>
      <c r="E496" s="28">
        <f t="shared" si="154"/>
        <v>3322</v>
      </c>
      <c r="F496" s="28">
        <f t="shared" si="154"/>
        <v>3219</v>
      </c>
      <c r="G496" s="28">
        <f t="shared" si="154"/>
        <v>3189</v>
      </c>
      <c r="H496" s="28">
        <f t="shared" si="154"/>
        <v>3413</v>
      </c>
      <c r="I496" s="28">
        <f t="shared" si="154"/>
        <v>3349</v>
      </c>
      <c r="J496" s="28">
        <f t="shared" si="154"/>
        <v>2723</v>
      </c>
      <c r="K496" s="28">
        <f t="shared" si="154"/>
        <v>2760</v>
      </c>
      <c r="L496" s="28">
        <f t="shared" si="154"/>
        <v>3076</v>
      </c>
      <c r="M496" s="28">
        <f t="shared" si="154"/>
        <v>4074</v>
      </c>
      <c r="N496" s="28">
        <f t="shared" si="154"/>
        <v>4344</v>
      </c>
      <c r="O496" s="28">
        <f t="shared" si="154"/>
        <v>5574</v>
      </c>
      <c r="P496" s="28">
        <f t="shared" si="154"/>
        <v>7311</v>
      </c>
      <c r="Q496" s="28">
        <f t="shared" si="154"/>
        <v>8800</v>
      </c>
      <c r="R496" s="28">
        <f t="shared" si="154"/>
        <v>8861</v>
      </c>
      <c r="S496" s="28">
        <f t="shared" si="154"/>
        <v>8884</v>
      </c>
      <c r="T496" s="28">
        <f t="shared" si="154"/>
        <v>9661</v>
      </c>
      <c r="U496" s="28">
        <f t="shared" si="154"/>
        <v>10205</v>
      </c>
      <c r="V496" s="28">
        <f t="shared" si="154"/>
        <v>10297</v>
      </c>
    </row>
    <row r="497" spans="1:22" ht="76.5" x14ac:dyDescent="0.2">
      <c r="A497" s="28" t="s">
        <v>457</v>
      </c>
      <c r="B497" s="28" t="s">
        <v>496</v>
      </c>
      <c r="C497" s="28">
        <v>1315</v>
      </c>
      <c r="D497" s="28">
        <v>778</v>
      </c>
      <c r="E497" s="28">
        <v>538</v>
      </c>
      <c r="F497" s="28">
        <v>335</v>
      </c>
      <c r="G497" s="28">
        <v>198</v>
      </c>
      <c r="H497" s="28">
        <v>151</v>
      </c>
      <c r="I497" s="28">
        <v>83</v>
      </c>
      <c r="J497" s="28">
        <v>53</v>
      </c>
      <c r="K497" s="28">
        <v>66</v>
      </c>
      <c r="L497" s="28">
        <v>57</v>
      </c>
      <c r="M497" s="28">
        <v>980</v>
      </c>
      <c r="N497" s="28">
        <v>1290</v>
      </c>
      <c r="O497" s="28">
        <v>1978</v>
      </c>
      <c r="P497" s="28">
        <v>2734</v>
      </c>
      <c r="Q497" s="28">
        <v>3332</v>
      </c>
      <c r="R497" s="28">
        <v>3573</v>
      </c>
      <c r="S497" s="28">
        <v>3541</v>
      </c>
      <c r="T497" s="28">
        <v>3355</v>
      </c>
      <c r="U497" s="28">
        <v>3321</v>
      </c>
      <c r="V497" s="28">
        <v>3127</v>
      </c>
    </row>
    <row r="498" spans="1:22" ht="76.5" x14ac:dyDescent="0.2">
      <c r="A498" s="28" t="s">
        <v>457</v>
      </c>
      <c r="B498" s="28" t="s">
        <v>497</v>
      </c>
      <c r="C498" s="28">
        <v>553</v>
      </c>
      <c r="D498" s="28">
        <v>379</v>
      </c>
      <c r="E498" s="28">
        <v>258</v>
      </c>
      <c r="F498" s="28">
        <v>198</v>
      </c>
      <c r="G498" s="28">
        <v>158</v>
      </c>
      <c r="H498" s="28">
        <v>162</v>
      </c>
      <c r="I498" s="28">
        <v>106</v>
      </c>
      <c r="J498" s="28">
        <v>100</v>
      </c>
      <c r="K498" s="28">
        <v>96</v>
      </c>
      <c r="L498" s="28">
        <v>173</v>
      </c>
      <c r="M498" s="28">
        <v>501</v>
      </c>
      <c r="N498" s="28">
        <v>609</v>
      </c>
      <c r="O498" s="28">
        <v>1061</v>
      </c>
      <c r="P498" s="28">
        <v>1721</v>
      </c>
      <c r="Q498" s="28">
        <v>2327</v>
      </c>
      <c r="R498" s="28">
        <v>2141</v>
      </c>
      <c r="S498" s="28">
        <v>1907</v>
      </c>
      <c r="T498" s="28">
        <v>2179</v>
      </c>
      <c r="U498" s="28">
        <v>2458</v>
      </c>
      <c r="V498" s="28">
        <v>2796</v>
      </c>
    </row>
    <row r="499" spans="1:22" ht="89.25" x14ac:dyDescent="0.2">
      <c r="A499" s="28" t="s">
        <v>457</v>
      </c>
      <c r="B499" s="28" t="s">
        <v>498</v>
      </c>
      <c r="C499" s="28">
        <v>63</v>
      </c>
      <c r="D499" s="28">
        <v>26</v>
      </c>
      <c r="E499" s="28">
        <v>26</v>
      </c>
      <c r="F499" s="28">
        <v>41</v>
      </c>
      <c r="G499" s="28">
        <v>46</v>
      </c>
      <c r="H499" s="28">
        <v>41</v>
      </c>
      <c r="I499" s="28">
        <v>33</v>
      </c>
      <c r="J499" s="28">
        <v>38</v>
      </c>
      <c r="K499" s="28">
        <v>58</v>
      </c>
      <c r="L499" s="28">
        <v>72</v>
      </c>
      <c r="M499" s="28">
        <v>71</v>
      </c>
      <c r="N499" s="28">
        <v>70</v>
      </c>
      <c r="O499" s="28">
        <v>72</v>
      </c>
      <c r="P499" s="28">
        <v>82</v>
      </c>
      <c r="Q499" s="28">
        <v>64</v>
      </c>
      <c r="R499" s="28">
        <v>16</v>
      </c>
      <c r="S499" s="28">
        <v>14</v>
      </c>
      <c r="T499" s="28">
        <v>9</v>
      </c>
      <c r="U499" s="28">
        <v>9</v>
      </c>
      <c r="V499" s="28">
        <v>10</v>
      </c>
    </row>
    <row r="500" spans="1:22" ht="63.75" x14ac:dyDescent="0.2">
      <c r="A500" s="28" t="s">
        <v>457</v>
      </c>
      <c r="B500" s="28" t="s">
        <v>499</v>
      </c>
      <c r="C500" s="28">
        <v>2029</v>
      </c>
      <c r="D500" s="28">
        <v>2103</v>
      </c>
      <c r="E500" s="28">
        <v>2436</v>
      </c>
      <c r="F500" s="28">
        <v>2579</v>
      </c>
      <c r="G500" s="28">
        <v>2732</v>
      </c>
      <c r="H500" s="28">
        <v>2990</v>
      </c>
      <c r="I500" s="28">
        <v>3031</v>
      </c>
      <c r="J500" s="28">
        <v>2470</v>
      </c>
      <c r="K500" s="28">
        <v>2474</v>
      </c>
      <c r="L500" s="28">
        <v>2441</v>
      </c>
      <c r="M500" s="28">
        <v>2419</v>
      </c>
      <c r="N500" s="28">
        <v>2221</v>
      </c>
      <c r="O500" s="28">
        <v>2385</v>
      </c>
      <c r="P500" s="28">
        <v>2679</v>
      </c>
      <c r="Q500" s="28">
        <v>2982</v>
      </c>
      <c r="R500" s="28">
        <v>3028</v>
      </c>
      <c r="S500" s="28">
        <v>3304</v>
      </c>
      <c r="T500" s="28">
        <v>3988</v>
      </c>
      <c r="U500" s="28">
        <v>4172</v>
      </c>
      <c r="V500" s="28">
        <v>4124</v>
      </c>
    </row>
    <row r="501" spans="1:22" ht="63.75" x14ac:dyDescent="0.2">
      <c r="A501" s="28" t="s">
        <v>457</v>
      </c>
      <c r="B501" s="28" t="s">
        <v>500</v>
      </c>
      <c r="C501" s="28">
        <v>123</v>
      </c>
      <c r="D501" s="28">
        <v>125</v>
      </c>
      <c r="E501" s="28">
        <v>13</v>
      </c>
      <c r="F501" s="28">
        <v>13</v>
      </c>
      <c r="G501" s="28">
        <v>10</v>
      </c>
      <c r="H501" s="28">
        <v>14</v>
      </c>
      <c r="I501" s="28">
        <v>9</v>
      </c>
      <c r="J501" s="28">
        <v>13</v>
      </c>
      <c r="K501" s="28">
        <v>12</v>
      </c>
      <c r="L501" s="28">
        <v>21</v>
      </c>
      <c r="M501" s="28">
        <v>36</v>
      </c>
      <c r="N501" s="28">
        <v>77</v>
      </c>
      <c r="O501" s="28">
        <v>20</v>
      </c>
      <c r="P501" s="28">
        <v>16</v>
      </c>
      <c r="Q501" s="28">
        <f>5+19+42</f>
        <v>66</v>
      </c>
      <c r="R501" s="28">
        <f>9+30+43</f>
        <v>82</v>
      </c>
      <c r="S501" s="28">
        <f>12+51+50</f>
        <v>113</v>
      </c>
      <c r="T501" s="28">
        <f>7+36+85</f>
        <v>128</v>
      </c>
      <c r="U501" s="28">
        <f>63+75+106</f>
        <v>244</v>
      </c>
      <c r="V501" s="28">
        <v>239</v>
      </c>
    </row>
    <row r="502" spans="1:22" ht="63.75" x14ac:dyDescent="0.2">
      <c r="A502" s="28" t="s">
        <v>457</v>
      </c>
      <c r="B502" s="28" t="s">
        <v>501</v>
      </c>
      <c r="C502" s="28">
        <v>0</v>
      </c>
      <c r="D502" s="28">
        <v>0</v>
      </c>
      <c r="E502" s="28">
        <v>0</v>
      </c>
      <c r="F502" s="28">
        <v>0</v>
      </c>
      <c r="G502" s="28">
        <v>0</v>
      </c>
      <c r="H502" s="28">
        <v>0</v>
      </c>
      <c r="I502" s="28">
        <v>0</v>
      </c>
      <c r="J502" s="28">
        <v>0</v>
      </c>
      <c r="K502" s="28">
        <v>0</v>
      </c>
      <c r="L502" s="28">
        <v>0</v>
      </c>
      <c r="M502" s="28">
        <v>0</v>
      </c>
      <c r="N502" s="28">
        <v>0</v>
      </c>
      <c r="O502" s="28">
        <v>0</v>
      </c>
      <c r="P502" s="28">
        <v>0</v>
      </c>
      <c r="Q502" s="28"/>
      <c r="R502" s="28"/>
      <c r="S502" s="28"/>
      <c r="T502" s="28"/>
      <c r="U502" s="28"/>
      <c r="V502" s="28">
        <v>1</v>
      </c>
    </row>
    <row r="503" spans="1:22" ht="63.75" x14ac:dyDescent="0.2">
      <c r="A503" s="28" t="s">
        <v>457</v>
      </c>
      <c r="B503" s="28" t="s">
        <v>502</v>
      </c>
      <c r="C503" s="28">
        <v>54</v>
      </c>
      <c r="D503" s="28">
        <v>54</v>
      </c>
      <c r="E503" s="28">
        <v>51</v>
      </c>
      <c r="F503" s="28">
        <v>53</v>
      </c>
      <c r="G503" s="28">
        <v>45</v>
      </c>
      <c r="H503" s="28">
        <v>55</v>
      </c>
      <c r="I503" s="28">
        <v>87</v>
      </c>
      <c r="J503" s="28">
        <v>49</v>
      </c>
      <c r="K503" s="28">
        <v>54</v>
      </c>
      <c r="L503" s="28">
        <v>312</v>
      </c>
      <c r="M503" s="28">
        <v>67</v>
      </c>
      <c r="N503" s="28">
        <v>77</v>
      </c>
      <c r="O503" s="28">
        <v>58</v>
      </c>
      <c r="P503" s="28">
        <v>79</v>
      </c>
      <c r="Q503" s="28">
        <v>29</v>
      </c>
      <c r="R503" s="28">
        <v>21</v>
      </c>
      <c r="S503" s="28">
        <v>5</v>
      </c>
      <c r="T503" s="28">
        <v>2</v>
      </c>
      <c r="U503" s="28">
        <v>1</v>
      </c>
      <c r="V503" s="28">
        <v>0</v>
      </c>
    </row>
    <row r="504" spans="1:22" ht="63.75" x14ac:dyDescent="0.2">
      <c r="A504" s="28" t="s">
        <v>457</v>
      </c>
      <c r="B504" s="28" t="s">
        <v>503</v>
      </c>
      <c r="C504" s="28">
        <v>10092</v>
      </c>
      <c r="D504" s="28">
        <f>12279</f>
        <v>12279</v>
      </c>
      <c r="E504" s="28">
        <v>12048</v>
      </c>
      <c r="F504" s="28">
        <v>12956</v>
      </c>
      <c r="G504" s="28">
        <v>17643</v>
      </c>
      <c r="H504" s="28">
        <f>18330</f>
        <v>18330</v>
      </c>
      <c r="I504" s="28">
        <v>17528</v>
      </c>
      <c r="J504" s="28">
        <v>17613</v>
      </c>
      <c r="K504" s="28">
        <f>21155</f>
        <v>21155</v>
      </c>
      <c r="L504" s="28">
        <v>22318</v>
      </c>
      <c r="M504" s="28">
        <v>26622</v>
      </c>
      <c r="N504" s="28">
        <v>32151</v>
      </c>
      <c r="O504" s="28">
        <v>27919</v>
      </c>
      <c r="P504" s="28">
        <v>25350</v>
      </c>
      <c r="Q504" s="28">
        <v>23284</v>
      </c>
      <c r="R504" s="28">
        <v>21877</v>
      </c>
      <c r="S504" s="28">
        <v>15018</v>
      </c>
      <c r="T504" s="28">
        <v>16178</v>
      </c>
      <c r="U504" s="28">
        <v>21108</v>
      </c>
      <c r="V504" s="28">
        <v>21608</v>
      </c>
    </row>
    <row r="505" spans="1:22" ht="89.25" x14ac:dyDescent="0.2">
      <c r="A505" s="28" t="s">
        <v>457</v>
      </c>
      <c r="B505" s="28" t="s">
        <v>504</v>
      </c>
      <c r="C505" s="28">
        <f t="shared" ref="C505:V505" si="155">SUM(C506:C512)</f>
        <v>5753</v>
      </c>
      <c r="D505" s="28">
        <f t="shared" si="155"/>
        <v>7579</v>
      </c>
      <c r="E505" s="28">
        <f t="shared" si="155"/>
        <v>8263</v>
      </c>
      <c r="F505" s="28">
        <f t="shared" si="155"/>
        <v>8237</v>
      </c>
      <c r="G505" s="28">
        <f t="shared" si="155"/>
        <v>8736</v>
      </c>
      <c r="H505" s="28">
        <f t="shared" si="155"/>
        <v>9006</v>
      </c>
      <c r="I505" s="28">
        <f t="shared" si="155"/>
        <v>8729</v>
      </c>
      <c r="J505" s="28">
        <f t="shared" si="155"/>
        <v>7328</v>
      </c>
      <c r="K505" s="28">
        <f t="shared" si="155"/>
        <v>7532</v>
      </c>
      <c r="L505" s="28">
        <f t="shared" si="155"/>
        <v>9963</v>
      </c>
      <c r="M505" s="28">
        <f t="shared" si="155"/>
        <v>12336</v>
      </c>
      <c r="N505" s="28">
        <f t="shared" si="155"/>
        <v>14757</v>
      </c>
      <c r="O505" s="28">
        <f t="shared" si="155"/>
        <v>15842</v>
      </c>
      <c r="P505" s="28">
        <f t="shared" si="155"/>
        <v>14823</v>
      </c>
      <c r="Q505" s="28">
        <f t="shared" si="155"/>
        <v>13144</v>
      </c>
      <c r="R505" s="28">
        <f t="shared" si="155"/>
        <v>12416</v>
      </c>
      <c r="S505" s="28">
        <f t="shared" si="155"/>
        <v>11073</v>
      </c>
      <c r="T505" s="28">
        <f t="shared" si="155"/>
        <v>9675</v>
      </c>
      <c r="U505" s="28">
        <f t="shared" si="155"/>
        <v>8486</v>
      </c>
      <c r="V505" s="28">
        <f t="shared" si="155"/>
        <v>8440</v>
      </c>
    </row>
    <row r="506" spans="1:22" ht="76.5" x14ac:dyDescent="0.2">
      <c r="A506" s="28" t="s">
        <v>457</v>
      </c>
      <c r="B506" s="28" t="s">
        <v>505</v>
      </c>
      <c r="C506" s="28">
        <v>2345</v>
      </c>
      <c r="D506" s="28">
        <v>2921</v>
      </c>
      <c r="E506" s="28">
        <v>2855</v>
      </c>
      <c r="F506" s="28">
        <v>2747</v>
      </c>
      <c r="G506" s="28">
        <v>2663</v>
      </c>
      <c r="H506" s="28">
        <v>2309</v>
      </c>
      <c r="I506" s="28">
        <v>1963</v>
      </c>
      <c r="J506" s="28">
        <v>1505</v>
      </c>
      <c r="K506" s="28">
        <v>1746</v>
      </c>
      <c r="L506" s="28">
        <v>3760</v>
      </c>
      <c r="M506" s="28">
        <v>5809</v>
      </c>
      <c r="N506" s="28">
        <v>7295</v>
      </c>
      <c r="O506" s="28">
        <v>7854</v>
      </c>
      <c r="P506" s="28">
        <v>7066</v>
      </c>
      <c r="Q506" s="28">
        <f>5768+191</f>
        <v>5959</v>
      </c>
      <c r="R506" s="28">
        <f>5155+369</f>
        <v>5524</v>
      </c>
      <c r="S506" s="28">
        <f>4534+129</f>
        <v>4663</v>
      </c>
      <c r="T506" s="28">
        <f>3356+398</f>
        <v>3754</v>
      </c>
      <c r="U506" s="28">
        <f>2832+311</f>
        <v>3143</v>
      </c>
      <c r="V506" s="28">
        <v>2718</v>
      </c>
    </row>
    <row r="507" spans="1:22" ht="76.5" x14ac:dyDescent="0.2">
      <c r="A507" s="28" t="s">
        <v>457</v>
      </c>
      <c r="B507" s="28" t="s">
        <v>506</v>
      </c>
      <c r="C507" s="28"/>
      <c r="D507" s="28"/>
      <c r="E507" s="28"/>
      <c r="F507" s="28"/>
      <c r="G507" s="28"/>
      <c r="H507" s="28"/>
      <c r="I507" s="28"/>
      <c r="J507" s="28"/>
      <c r="K507" s="28"/>
      <c r="L507" s="28"/>
      <c r="M507" s="28"/>
      <c r="N507" s="28"/>
      <c r="O507" s="28"/>
      <c r="P507" s="28"/>
      <c r="Q507" s="28"/>
      <c r="R507" s="28"/>
      <c r="S507" s="28"/>
      <c r="T507" s="28"/>
      <c r="U507" s="28"/>
      <c r="V507" s="28">
        <v>213</v>
      </c>
    </row>
    <row r="508" spans="1:22" ht="89.25" x14ac:dyDescent="0.2">
      <c r="A508" s="28" t="s">
        <v>457</v>
      </c>
      <c r="B508" s="28" t="s">
        <v>507</v>
      </c>
      <c r="C508" s="28">
        <v>1885</v>
      </c>
      <c r="D508" s="28">
        <v>2045</v>
      </c>
      <c r="E508" s="28">
        <v>1874</v>
      </c>
      <c r="F508" s="28">
        <v>1929</v>
      </c>
      <c r="G508" s="28">
        <v>2313</v>
      </c>
      <c r="H508" s="28">
        <v>2722</v>
      </c>
      <c r="I508" s="28">
        <v>3000</v>
      </c>
      <c r="J508" s="28">
        <v>2608</v>
      </c>
      <c r="K508" s="28">
        <v>2632</v>
      </c>
      <c r="L508" s="28">
        <v>2844</v>
      </c>
      <c r="M508" s="28">
        <v>2974</v>
      </c>
      <c r="N508" s="28">
        <v>3519</v>
      </c>
      <c r="O508" s="28">
        <v>4033</v>
      </c>
      <c r="P508" s="28">
        <f>3812+41</f>
        <v>3853</v>
      </c>
      <c r="Q508" s="28">
        <f>3444+82</f>
        <v>3526</v>
      </c>
      <c r="R508" s="28">
        <f>3151+60</f>
        <v>3211</v>
      </c>
      <c r="S508" s="28">
        <f>3027+54</f>
        <v>3081</v>
      </c>
      <c r="T508" s="28">
        <f>2615+118</f>
        <v>2733</v>
      </c>
      <c r="U508" s="28">
        <f>2234+145</f>
        <v>2379</v>
      </c>
      <c r="V508" s="28">
        <v>2398</v>
      </c>
    </row>
    <row r="509" spans="1:22" ht="89.25" x14ac:dyDescent="0.2">
      <c r="A509" s="28" t="s">
        <v>457</v>
      </c>
      <c r="B509" s="28" t="s">
        <v>508</v>
      </c>
      <c r="C509" s="28"/>
      <c r="D509" s="28"/>
      <c r="E509" s="28"/>
      <c r="F509" s="28"/>
      <c r="G509" s="28"/>
      <c r="H509" s="28"/>
      <c r="I509" s="28"/>
      <c r="J509" s="28"/>
      <c r="K509" s="28"/>
      <c r="L509" s="28"/>
      <c r="M509" s="28"/>
      <c r="N509" s="28"/>
      <c r="O509" s="28"/>
      <c r="P509" s="28"/>
      <c r="Q509" s="28"/>
      <c r="R509" s="28"/>
      <c r="S509" s="28"/>
      <c r="T509" s="28"/>
      <c r="U509" s="28"/>
      <c r="V509" s="28">
        <v>168</v>
      </c>
    </row>
    <row r="510" spans="1:22" ht="63.75" x14ac:dyDescent="0.2">
      <c r="A510" s="28" t="s">
        <v>457</v>
      </c>
      <c r="B510" s="28" t="s">
        <v>509</v>
      </c>
      <c r="C510" s="28">
        <v>1324</v>
      </c>
      <c r="D510" s="28">
        <v>2348</v>
      </c>
      <c r="E510" s="28">
        <v>2966</v>
      </c>
      <c r="F510" s="28">
        <v>3262</v>
      </c>
      <c r="G510" s="28">
        <v>3547</v>
      </c>
      <c r="H510" s="28">
        <v>3838</v>
      </c>
      <c r="I510" s="28">
        <v>3598</v>
      </c>
      <c r="J510" s="28">
        <v>3049</v>
      </c>
      <c r="K510" s="28">
        <v>2935</v>
      </c>
      <c r="L510" s="28">
        <v>3165</v>
      </c>
      <c r="M510" s="28">
        <v>3087</v>
      </c>
      <c r="N510" s="28">
        <v>3763</v>
      </c>
      <c r="O510" s="28">
        <v>3819</v>
      </c>
      <c r="P510" s="28">
        <v>3720</v>
      </c>
      <c r="Q510" s="28">
        <v>3551</v>
      </c>
      <c r="R510" s="28">
        <v>3531</v>
      </c>
      <c r="S510" s="28">
        <v>3298</v>
      </c>
      <c r="T510" s="28">
        <v>3173</v>
      </c>
      <c r="U510" s="28">
        <v>2945</v>
      </c>
      <c r="V510" s="28">
        <v>2904</v>
      </c>
    </row>
    <row r="511" spans="1:22" ht="76.5" x14ac:dyDescent="0.2">
      <c r="A511" s="28" t="s">
        <v>457</v>
      </c>
      <c r="B511" s="28" t="s">
        <v>510</v>
      </c>
      <c r="C511" s="28"/>
      <c r="D511" s="28"/>
      <c r="E511" s="28"/>
      <c r="F511" s="28"/>
      <c r="G511" s="28"/>
      <c r="H511" s="28"/>
      <c r="I511" s="28"/>
      <c r="J511" s="28"/>
      <c r="K511" s="28"/>
      <c r="L511" s="28"/>
      <c r="M511" s="28"/>
      <c r="N511" s="28"/>
      <c r="O511" s="28"/>
      <c r="P511" s="28">
        <v>0</v>
      </c>
      <c r="Q511" s="28">
        <v>0</v>
      </c>
      <c r="R511" s="28">
        <v>0</v>
      </c>
      <c r="S511" s="28">
        <v>0</v>
      </c>
      <c r="T511" s="28">
        <v>10</v>
      </c>
      <c r="U511" s="28">
        <v>19</v>
      </c>
      <c r="V511" s="28">
        <v>19</v>
      </c>
    </row>
    <row r="512" spans="1:22" ht="63.75" x14ac:dyDescent="0.2">
      <c r="A512" s="28" t="s">
        <v>457</v>
      </c>
      <c r="B512" s="28" t="s">
        <v>511</v>
      </c>
      <c r="C512" s="28">
        <v>199</v>
      </c>
      <c r="D512" s="28">
        <v>265</v>
      </c>
      <c r="E512" s="28">
        <v>568</v>
      </c>
      <c r="F512" s="28">
        <v>299</v>
      </c>
      <c r="G512" s="28">
        <v>213</v>
      </c>
      <c r="H512" s="28">
        <v>137</v>
      </c>
      <c r="I512" s="28">
        <v>168</v>
      </c>
      <c r="J512" s="28">
        <v>166</v>
      </c>
      <c r="K512" s="28">
        <v>219</v>
      </c>
      <c r="L512" s="28">
        <v>194</v>
      </c>
      <c r="M512" s="28">
        <v>466</v>
      </c>
      <c r="N512" s="28">
        <v>180</v>
      </c>
      <c r="O512" s="28">
        <v>136</v>
      </c>
      <c r="P512" s="28">
        <f>146+4+34</f>
        <v>184</v>
      </c>
      <c r="Q512" s="28">
        <f>69+39</f>
        <v>108</v>
      </c>
      <c r="R512" s="28">
        <f>110+40</f>
        <v>150</v>
      </c>
      <c r="S512" s="28">
        <f>26+5</f>
        <v>31</v>
      </c>
      <c r="T512" s="28">
        <v>5</v>
      </c>
      <c r="U512" s="28">
        <v>0</v>
      </c>
      <c r="V512" s="28">
        <v>20</v>
      </c>
    </row>
    <row r="513" spans="1:22" ht="63.75" x14ac:dyDescent="0.2">
      <c r="A513" s="28" t="s">
        <v>457</v>
      </c>
      <c r="B513" s="28" t="s">
        <v>512</v>
      </c>
      <c r="C513" s="28">
        <v>55736</v>
      </c>
      <c r="D513" s="28">
        <v>56345</v>
      </c>
      <c r="E513" s="28">
        <f>60558-2</f>
        <v>60556</v>
      </c>
      <c r="F513" s="28">
        <v>71543</v>
      </c>
      <c r="G513" s="28">
        <v>57173</v>
      </c>
      <c r="H513" s="28">
        <v>43854</v>
      </c>
      <c r="I513" s="28">
        <v>38121</v>
      </c>
      <c r="J513" s="28">
        <v>45074</v>
      </c>
      <c r="K513" s="28">
        <f>60185</f>
        <v>60185</v>
      </c>
      <c r="L513" s="28">
        <v>78301</v>
      </c>
      <c r="M513" s="28">
        <v>80539</v>
      </c>
      <c r="N513" s="28">
        <v>71444</v>
      </c>
      <c r="O513" s="28">
        <f>58479</f>
        <v>58479</v>
      </c>
      <c r="P513" s="28">
        <v>55873</v>
      </c>
      <c r="Q513" s="28">
        <v>47767</v>
      </c>
      <c r="R513" s="28">
        <v>41992</v>
      </c>
      <c r="S513" s="28">
        <f>43911</f>
        <v>43911</v>
      </c>
      <c r="T513" s="28">
        <v>51508</v>
      </c>
      <c r="U513" s="28">
        <v>64392</v>
      </c>
      <c r="V513" s="28">
        <v>69333</v>
      </c>
    </row>
    <row r="514" spans="1:22" ht="89.25" x14ac:dyDescent="0.2">
      <c r="A514" s="28" t="s">
        <v>457</v>
      </c>
      <c r="B514" s="28" t="s">
        <v>513</v>
      </c>
      <c r="C514" s="28">
        <v>7701</v>
      </c>
      <c r="D514" s="28">
        <v>9914</v>
      </c>
      <c r="E514" s="28">
        <v>10840</v>
      </c>
      <c r="F514" s="28">
        <v>11408</v>
      </c>
      <c r="G514" s="28">
        <v>11529</v>
      </c>
      <c r="H514" s="28">
        <v>9914</v>
      </c>
      <c r="I514" s="28">
        <v>7779</v>
      </c>
      <c r="J514" s="28">
        <v>7186</v>
      </c>
      <c r="K514" s="28">
        <v>6723</v>
      </c>
      <c r="L514" s="28">
        <v>7040</v>
      </c>
      <c r="M514" s="28">
        <v>7469</v>
      </c>
      <c r="N514" s="28">
        <v>7357</v>
      </c>
      <c r="O514" s="28">
        <v>6123</v>
      </c>
      <c r="P514" s="28">
        <f>167+759+4775+27</f>
        <v>5728</v>
      </c>
      <c r="Q514" s="28">
        <f>145+674+3825+29</f>
        <v>4673</v>
      </c>
      <c r="R514" s="28">
        <v>3838</v>
      </c>
      <c r="S514" s="28">
        <f>120+617+2970+8+4</f>
        <v>3719</v>
      </c>
      <c r="T514" s="28">
        <v>4074</v>
      </c>
      <c r="U514" s="28">
        <f>41+579+2349+7+12</f>
        <v>2988</v>
      </c>
      <c r="V514" s="28">
        <v>56</v>
      </c>
    </row>
    <row r="515" spans="1:22" ht="76.5" x14ac:dyDescent="0.2">
      <c r="A515" s="28" t="s">
        <v>457</v>
      </c>
      <c r="B515" s="28" t="s">
        <v>514</v>
      </c>
      <c r="C515" s="28"/>
      <c r="D515" s="28"/>
      <c r="E515" s="28"/>
      <c r="F515" s="28"/>
      <c r="G515" s="28"/>
      <c r="H515" s="28"/>
      <c r="I515" s="28"/>
      <c r="J515" s="28"/>
      <c r="K515" s="28"/>
      <c r="L515" s="28"/>
      <c r="M515" s="28"/>
      <c r="N515" s="28"/>
      <c r="O515" s="28"/>
      <c r="P515" s="28"/>
      <c r="Q515" s="28"/>
      <c r="R515" s="28"/>
      <c r="S515" s="28"/>
      <c r="T515" s="28"/>
      <c r="U515" s="28"/>
      <c r="V515" s="28">
        <v>2955</v>
      </c>
    </row>
    <row r="516" spans="1:22" ht="76.5" x14ac:dyDescent="0.2">
      <c r="A516" s="28" t="s">
        <v>457</v>
      </c>
      <c r="B516" s="28" t="s">
        <v>515</v>
      </c>
      <c r="C516" s="28">
        <f>2603-1694</f>
        <v>909</v>
      </c>
      <c r="D516" s="28">
        <f>3476-1997</f>
        <v>1479</v>
      </c>
      <c r="E516" s="28">
        <f>4469-2174</f>
        <v>2295</v>
      </c>
      <c r="F516" s="28">
        <f>4348-2150</f>
        <v>2198</v>
      </c>
      <c r="G516" s="28">
        <f>4171-3201</f>
        <v>970</v>
      </c>
      <c r="H516" s="28">
        <f>3953-3292</f>
        <v>661</v>
      </c>
      <c r="I516" s="28">
        <f>3663</f>
        <v>3663</v>
      </c>
      <c r="J516" s="28">
        <f>3389</f>
        <v>3389</v>
      </c>
      <c r="K516" s="28">
        <v>3412</v>
      </c>
      <c r="L516" s="28">
        <v>4967</v>
      </c>
      <c r="M516" s="28">
        <v>4846</v>
      </c>
      <c r="N516" s="28">
        <v>7150</v>
      </c>
      <c r="O516" s="28">
        <v>7239</v>
      </c>
      <c r="P516" s="28">
        <v>6379</v>
      </c>
      <c r="Q516" s="28">
        <v>6042</v>
      </c>
      <c r="R516" s="28">
        <v>5299</v>
      </c>
      <c r="S516" s="28">
        <f>4220</f>
        <v>4220</v>
      </c>
      <c r="T516" s="28">
        <v>3752</v>
      </c>
      <c r="U516" s="28">
        <v>3198</v>
      </c>
      <c r="V516" s="28">
        <v>3111</v>
      </c>
    </row>
    <row r="517" spans="1:22" ht="89.25" x14ac:dyDescent="0.2">
      <c r="A517" s="28" t="s">
        <v>457</v>
      </c>
      <c r="B517" s="28" t="s">
        <v>516</v>
      </c>
      <c r="C517" s="28">
        <f t="shared" ref="C517:H517" si="156">SUM(C518:C526)</f>
        <v>1694</v>
      </c>
      <c r="D517" s="28">
        <f t="shared" si="156"/>
        <v>1997</v>
      </c>
      <c r="E517" s="28">
        <f t="shared" si="156"/>
        <v>2174</v>
      </c>
      <c r="F517" s="28">
        <f t="shared" si="156"/>
        <v>2150</v>
      </c>
      <c r="G517" s="28">
        <f t="shared" si="156"/>
        <v>3201</v>
      </c>
      <c r="H517" s="28">
        <f t="shared" si="156"/>
        <v>3292</v>
      </c>
      <c r="I517" s="28">
        <v>331</v>
      </c>
      <c r="J517" s="28">
        <v>964</v>
      </c>
      <c r="K517" s="28">
        <v>1675</v>
      </c>
      <c r="L517" s="28">
        <f t="shared" ref="L517:V517" si="157">SUM(L518:L526)</f>
        <v>744</v>
      </c>
      <c r="M517" s="28">
        <f t="shared" si="157"/>
        <v>2048</v>
      </c>
      <c r="N517" s="28">
        <f t="shared" si="157"/>
        <v>2484</v>
      </c>
      <c r="O517" s="28">
        <f t="shared" si="157"/>
        <v>3089</v>
      </c>
      <c r="P517" s="28">
        <f t="shared" si="157"/>
        <v>4375</v>
      </c>
      <c r="Q517" s="28">
        <f t="shared" si="157"/>
        <v>4772</v>
      </c>
      <c r="R517" s="28">
        <f t="shared" si="157"/>
        <v>4426</v>
      </c>
      <c r="S517" s="28">
        <f t="shared" si="157"/>
        <v>4313</v>
      </c>
      <c r="T517" s="28">
        <f t="shared" si="157"/>
        <v>4005</v>
      </c>
      <c r="U517" s="28">
        <f t="shared" si="157"/>
        <v>3565</v>
      </c>
      <c r="V517" s="28">
        <f t="shared" si="157"/>
        <v>3094</v>
      </c>
    </row>
    <row r="518" spans="1:22" ht="76.5" x14ac:dyDescent="0.2">
      <c r="A518" s="28" t="s">
        <v>457</v>
      </c>
      <c r="B518" s="28" t="s">
        <v>517</v>
      </c>
      <c r="C518" s="28">
        <v>975</v>
      </c>
      <c r="D518" s="28">
        <v>1398</v>
      </c>
      <c r="E518" s="28">
        <v>1247</v>
      </c>
      <c r="F518" s="28">
        <v>1515</v>
      </c>
      <c r="G518" s="28">
        <v>1916</v>
      </c>
      <c r="H518" s="28">
        <v>1688</v>
      </c>
      <c r="I518" s="28">
        <v>1324</v>
      </c>
      <c r="J518" s="28">
        <v>1239</v>
      </c>
      <c r="K518" s="28">
        <v>937</v>
      </c>
      <c r="L518" s="28">
        <v>140</v>
      </c>
      <c r="M518" s="28">
        <v>657</v>
      </c>
      <c r="N518" s="28">
        <v>844</v>
      </c>
      <c r="O518" s="28">
        <v>1104</v>
      </c>
      <c r="P518" s="28">
        <v>1982</v>
      </c>
      <c r="Q518" s="28">
        <v>1577</v>
      </c>
      <c r="R518" s="28">
        <v>1277</v>
      </c>
      <c r="S518" s="28">
        <v>1246</v>
      </c>
      <c r="T518" s="28">
        <v>1266</v>
      </c>
      <c r="U518" s="28">
        <v>1111</v>
      </c>
      <c r="V518" s="28">
        <v>730</v>
      </c>
    </row>
    <row r="519" spans="1:22" ht="76.5" x14ac:dyDescent="0.2">
      <c r="A519" s="28" t="s">
        <v>457</v>
      </c>
      <c r="B519" s="28" t="s">
        <v>518</v>
      </c>
      <c r="C519" s="28"/>
      <c r="D519" s="28"/>
      <c r="E519" s="28"/>
      <c r="F519" s="28"/>
      <c r="G519" s="28">
        <v>311</v>
      </c>
      <c r="H519" s="28">
        <v>419</v>
      </c>
      <c r="I519" s="28">
        <v>527</v>
      </c>
      <c r="J519" s="28">
        <v>344</v>
      </c>
      <c r="K519" s="28">
        <v>552</v>
      </c>
      <c r="L519" s="28">
        <v>116</v>
      </c>
      <c r="M519" s="28">
        <v>412</v>
      </c>
      <c r="N519" s="28">
        <v>469</v>
      </c>
      <c r="O519" s="28">
        <v>622</v>
      </c>
      <c r="P519" s="28">
        <v>694</v>
      </c>
      <c r="Q519" s="28">
        <v>517</v>
      </c>
      <c r="R519" s="28">
        <v>525</v>
      </c>
      <c r="S519" s="28">
        <v>492</v>
      </c>
      <c r="T519" s="28">
        <v>433</v>
      </c>
      <c r="U519" s="28">
        <v>397</v>
      </c>
      <c r="V519" s="28">
        <v>363</v>
      </c>
    </row>
    <row r="520" spans="1:22" ht="89.25" x14ac:dyDescent="0.2">
      <c r="A520" s="28" t="s">
        <v>457</v>
      </c>
      <c r="B520" s="28" t="s">
        <v>519</v>
      </c>
      <c r="C520" s="28">
        <v>52</v>
      </c>
      <c r="D520" s="28">
        <v>22</v>
      </c>
      <c r="E520" s="28">
        <v>209</v>
      </c>
      <c r="F520" s="28">
        <v>118</v>
      </c>
      <c r="G520" s="28">
        <v>137</v>
      </c>
      <c r="H520" s="28">
        <v>54</v>
      </c>
      <c r="I520" s="28">
        <v>62</v>
      </c>
      <c r="J520" s="28">
        <v>41</v>
      </c>
      <c r="K520" s="28">
        <v>10</v>
      </c>
      <c r="L520" s="28">
        <v>33</v>
      </c>
      <c r="M520" s="28">
        <v>66</v>
      </c>
      <c r="N520" s="28">
        <v>34</v>
      </c>
      <c r="O520" s="28">
        <v>13</v>
      </c>
      <c r="P520" s="28">
        <v>11</v>
      </c>
      <c r="Q520" s="28">
        <v>17</v>
      </c>
      <c r="R520" s="28">
        <v>36</v>
      </c>
      <c r="S520" s="28">
        <v>3</v>
      </c>
      <c r="T520" s="28">
        <v>7</v>
      </c>
      <c r="U520" s="28">
        <v>2</v>
      </c>
      <c r="V520" s="28">
        <v>0</v>
      </c>
    </row>
    <row r="521" spans="1:22" ht="89.25" x14ac:dyDescent="0.2">
      <c r="A521" s="28" t="s">
        <v>457</v>
      </c>
      <c r="B521" s="28" t="s">
        <v>520</v>
      </c>
      <c r="C521" s="28">
        <v>237</v>
      </c>
      <c r="D521" s="28">
        <v>201</v>
      </c>
      <c r="E521" s="28">
        <v>316</v>
      </c>
      <c r="F521" s="28">
        <v>202</v>
      </c>
      <c r="G521" s="28">
        <v>474</v>
      </c>
      <c r="H521" s="28">
        <v>672</v>
      </c>
      <c r="I521" s="28">
        <v>572</v>
      </c>
      <c r="J521" s="28">
        <v>550</v>
      </c>
      <c r="K521" s="28">
        <v>417</v>
      </c>
      <c r="L521" s="28">
        <v>107</v>
      </c>
      <c r="M521" s="28">
        <v>186</v>
      </c>
      <c r="N521" s="28">
        <v>187</v>
      </c>
      <c r="O521" s="28">
        <v>282</v>
      </c>
      <c r="P521" s="28">
        <v>281</v>
      </c>
      <c r="Q521" s="28">
        <v>545</v>
      </c>
      <c r="R521" s="28">
        <v>430</v>
      </c>
      <c r="S521" s="28">
        <v>438</v>
      </c>
      <c r="T521" s="28">
        <v>405</v>
      </c>
      <c r="U521" s="28">
        <v>319</v>
      </c>
      <c r="V521" s="28">
        <v>332</v>
      </c>
    </row>
    <row r="522" spans="1:22" ht="89.25" x14ac:dyDescent="0.2">
      <c r="A522" s="28" t="s">
        <v>457</v>
      </c>
      <c r="B522" s="28" t="s">
        <v>521</v>
      </c>
      <c r="C522" s="28">
        <v>430</v>
      </c>
      <c r="D522" s="28">
        <v>376</v>
      </c>
      <c r="E522" s="28">
        <v>402</v>
      </c>
      <c r="F522" s="28">
        <v>315</v>
      </c>
      <c r="G522" s="28">
        <v>363</v>
      </c>
      <c r="H522" s="28">
        <v>459</v>
      </c>
      <c r="I522" s="28">
        <v>560</v>
      </c>
      <c r="J522" s="28">
        <v>495</v>
      </c>
      <c r="K522" s="28">
        <v>673</v>
      </c>
      <c r="L522" s="28">
        <v>348</v>
      </c>
      <c r="M522" s="28">
        <v>727</v>
      </c>
      <c r="N522" s="28">
        <v>950</v>
      </c>
      <c r="O522" s="28">
        <v>1068</v>
      </c>
      <c r="P522" s="28">
        <v>1407</v>
      </c>
      <c r="Q522" s="28">
        <v>2116</v>
      </c>
      <c r="R522" s="28">
        <v>2158</v>
      </c>
      <c r="S522" s="28">
        <v>2089</v>
      </c>
      <c r="T522" s="28">
        <v>1795</v>
      </c>
      <c r="U522" s="28">
        <v>1612</v>
      </c>
      <c r="V522" s="28">
        <v>1562</v>
      </c>
    </row>
    <row r="523" spans="1:22" ht="102" x14ac:dyDescent="0.2">
      <c r="A523" s="28" t="s">
        <v>457</v>
      </c>
      <c r="B523" s="28" t="s">
        <v>522</v>
      </c>
      <c r="C523" s="28">
        <v>0</v>
      </c>
      <c r="D523" s="28">
        <v>0</v>
      </c>
      <c r="E523" s="28">
        <v>0</v>
      </c>
      <c r="F523" s="28">
        <v>0</v>
      </c>
      <c r="G523" s="28">
        <v>0</v>
      </c>
      <c r="H523" s="28">
        <v>0</v>
      </c>
      <c r="I523" s="28">
        <v>0</v>
      </c>
      <c r="J523" s="28">
        <v>0</v>
      </c>
      <c r="K523" s="28">
        <v>0</v>
      </c>
      <c r="L523" s="28">
        <v>0</v>
      </c>
      <c r="M523" s="28">
        <v>0</v>
      </c>
      <c r="N523" s="28">
        <v>0</v>
      </c>
      <c r="O523" s="28">
        <v>0</v>
      </c>
      <c r="P523" s="28">
        <v>0</v>
      </c>
      <c r="Q523" s="28">
        <v>0</v>
      </c>
      <c r="R523" s="28">
        <v>0</v>
      </c>
      <c r="S523" s="28">
        <v>0</v>
      </c>
      <c r="T523" s="28">
        <v>0</v>
      </c>
      <c r="U523" s="28">
        <v>0</v>
      </c>
      <c r="V523" s="28">
        <v>0</v>
      </c>
    </row>
    <row r="524" spans="1:22" ht="102" x14ac:dyDescent="0.2">
      <c r="A524" s="28" t="s">
        <v>457</v>
      </c>
      <c r="B524" s="28" t="s">
        <v>523</v>
      </c>
      <c r="C524" s="28"/>
      <c r="D524" s="28"/>
      <c r="E524" s="28"/>
      <c r="F524" s="28"/>
      <c r="G524" s="28"/>
      <c r="H524" s="28"/>
      <c r="I524" s="28"/>
      <c r="J524" s="28"/>
      <c r="K524" s="28"/>
      <c r="L524" s="28"/>
      <c r="M524" s="28"/>
      <c r="N524" s="28"/>
      <c r="O524" s="28"/>
      <c r="P524" s="28"/>
      <c r="Q524" s="28"/>
      <c r="R524" s="28"/>
      <c r="S524" s="28">
        <v>17</v>
      </c>
      <c r="T524" s="28">
        <v>33</v>
      </c>
      <c r="U524" s="28">
        <v>35</v>
      </c>
      <c r="V524" s="28">
        <v>30</v>
      </c>
    </row>
    <row r="525" spans="1:22" ht="102" x14ac:dyDescent="0.2">
      <c r="A525" s="28" t="s">
        <v>457</v>
      </c>
      <c r="B525" s="28" t="s">
        <v>524</v>
      </c>
      <c r="C525" s="28"/>
      <c r="D525" s="28"/>
      <c r="E525" s="28"/>
      <c r="F525" s="28"/>
      <c r="G525" s="28"/>
      <c r="H525" s="28"/>
      <c r="I525" s="28"/>
      <c r="J525" s="28"/>
      <c r="K525" s="28"/>
      <c r="L525" s="28"/>
      <c r="M525" s="28"/>
      <c r="N525" s="28"/>
      <c r="O525" s="28"/>
      <c r="P525" s="28"/>
      <c r="Q525" s="28"/>
      <c r="R525" s="28"/>
      <c r="S525" s="28">
        <v>27</v>
      </c>
      <c r="T525" s="28">
        <v>66</v>
      </c>
      <c r="U525" s="28">
        <v>89</v>
      </c>
      <c r="V525" s="28">
        <v>77</v>
      </c>
    </row>
    <row r="526" spans="1:22" ht="114.75" x14ac:dyDescent="0.2">
      <c r="A526" s="28" t="s">
        <v>457</v>
      </c>
      <c r="B526" s="28" t="s">
        <v>525</v>
      </c>
      <c r="C526" s="28"/>
      <c r="D526" s="28"/>
      <c r="E526" s="28"/>
      <c r="F526" s="28"/>
      <c r="G526" s="28"/>
      <c r="H526" s="28"/>
      <c r="I526" s="28"/>
      <c r="J526" s="28"/>
      <c r="K526" s="28"/>
      <c r="L526" s="28"/>
      <c r="M526" s="28"/>
      <c r="N526" s="28"/>
      <c r="O526" s="28"/>
      <c r="P526" s="28"/>
      <c r="Q526" s="28"/>
      <c r="R526" s="28"/>
      <c r="S526" s="28">
        <v>1</v>
      </c>
      <c r="T526" s="28"/>
      <c r="U526" s="28"/>
      <c r="V526" s="28">
        <v>0</v>
      </c>
    </row>
    <row r="527" spans="1:22" ht="76.5" x14ac:dyDescent="0.2">
      <c r="A527" s="28" t="s">
        <v>457</v>
      </c>
      <c r="B527" s="28" t="s">
        <v>526</v>
      </c>
      <c r="C527" s="28">
        <v>2579</v>
      </c>
      <c r="D527" s="28">
        <v>2753</v>
      </c>
      <c r="E527" s="28">
        <v>2286</v>
      </c>
      <c r="F527" s="28">
        <v>2368</v>
      </c>
      <c r="G527" s="28">
        <v>1422</v>
      </c>
      <c r="H527" s="28">
        <v>1121</v>
      </c>
      <c r="I527" s="28">
        <v>1027</v>
      </c>
      <c r="J527" s="28">
        <v>1349</v>
      </c>
      <c r="K527" s="28">
        <v>1635</v>
      </c>
      <c r="L527" s="28">
        <v>2696</v>
      </c>
      <c r="M527" s="28">
        <v>2879</v>
      </c>
      <c r="N527" s="28">
        <v>2405</v>
      </c>
      <c r="O527" s="28">
        <v>1833</v>
      </c>
      <c r="P527" s="28">
        <v>1615</v>
      </c>
      <c r="Q527" s="28">
        <v>1396</v>
      </c>
      <c r="R527" s="28">
        <f>1005</f>
        <v>1005</v>
      </c>
      <c r="S527" s="28">
        <v>1249</v>
      </c>
      <c r="T527" s="28">
        <v>1283</v>
      </c>
      <c r="U527" s="28">
        <v>1529</v>
      </c>
      <c r="V527" s="28">
        <v>1757</v>
      </c>
    </row>
    <row r="528" spans="1:22" ht="89.25" x14ac:dyDescent="0.2">
      <c r="A528" s="28" t="s">
        <v>457</v>
      </c>
      <c r="B528" s="28" t="s">
        <v>527</v>
      </c>
      <c r="C528" s="28">
        <v>0</v>
      </c>
      <c r="D528" s="28">
        <v>0</v>
      </c>
      <c r="E528" s="28">
        <v>0</v>
      </c>
      <c r="F528" s="28">
        <v>0</v>
      </c>
      <c r="G528" s="28">
        <v>0</v>
      </c>
      <c r="H528" s="28">
        <v>0</v>
      </c>
      <c r="I528" s="28">
        <v>0</v>
      </c>
      <c r="J528" s="28">
        <v>0</v>
      </c>
      <c r="K528" s="28">
        <v>0</v>
      </c>
      <c r="L528" s="28">
        <v>0</v>
      </c>
      <c r="M528" s="28">
        <v>0</v>
      </c>
      <c r="N528" s="28">
        <v>0</v>
      </c>
      <c r="O528" s="28">
        <v>0</v>
      </c>
      <c r="P528" s="28">
        <v>0</v>
      </c>
      <c r="Q528" s="28">
        <v>0</v>
      </c>
      <c r="R528" s="28">
        <v>0</v>
      </c>
      <c r="S528" s="28">
        <v>0</v>
      </c>
      <c r="T528" s="28">
        <v>0</v>
      </c>
      <c r="U528" s="28">
        <v>0</v>
      </c>
      <c r="V528" s="28"/>
    </row>
    <row r="529" spans="1:23" ht="76.5" x14ac:dyDescent="0.2">
      <c r="A529" s="28" t="s">
        <v>457</v>
      </c>
      <c r="B529" s="28" t="s">
        <v>528</v>
      </c>
      <c r="C529" s="28"/>
      <c r="D529" s="28"/>
      <c r="E529" s="28"/>
      <c r="F529" s="28"/>
      <c r="G529" s="28"/>
      <c r="H529" s="28"/>
      <c r="I529" s="28"/>
      <c r="J529" s="28"/>
      <c r="K529" s="28"/>
      <c r="L529" s="28"/>
      <c r="M529" s="28"/>
      <c r="N529" s="28"/>
      <c r="O529" s="28"/>
      <c r="P529" s="28"/>
      <c r="Q529" s="28"/>
      <c r="R529" s="28"/>
      <c r="S529" s="28"/>
      <c r="T529" s="28"/>
      <c r="U529" s="28"/>
      <c r="V529" s="28">
        <v>1503</v>
      </c>
    </row>
    <row r="530" spans="1:23" ht="89.25" x14ac:dyDescent="0.2">
      <c r="A530" s="28" t="s">
        <v>457</v>
      </c>
      <c r="B530" s="28" t="s">
        <v>529</v>
      </c>
      <c r="C530" s="28"/>
      <c r="D530" s="28"/>
      <c r="E530" s="28"/>
      <c r="F530" s="28"/>
      <c r="G530" s="28"/>
      <c r="H530" s="28"/>
      <c r="I530" s="28"/>
      <c r="J530" s="28"/>
      <c r="K530" s="28"/>
      <c r="L530" s="28"/>
      <c r="M530" s="28"/>
      <c r="N530" s="28"/>
      <c r="O530" s="28"/>
      <c r="P530" s="28"/>
      <c r="Q530" s="28"/>
      <c r="R530" s="28"/>
      <c r="S530" s="28"/>
      <c r="T530" s="28"/>
      <c r="U530" s="28"/>
      <c r="V530" s="28">
        <v>1508</v>
      </c>
    </row>
    <row r="531" spans="1:23" s="7" customFormat="1" ht="51" x14ac:dyDescent="0.2">
      <c r="A531" s="28" t="s">
        <v>457</v>
      </c>
      <c r="B531" s="28" t="s">
        <v>530</v>
      </c>
      <c r="C531" s="28"/>
      <c r="D531" s="28"/>
      <c r="E531" s="28"/>
      <c r="F531" s="28"/>
      <c r="G531" s="28"/>
      <c r="H531" s="28"/>
      <c r="I531" s="28"/>
      <c r="J531" s="28"/>
      <c r="K531" s="28"/>
      <c r="L531" s="28"/>
      <c r="M531" s="28"/>
      <c r="N531" s="28"/>
      <c r="O531" s="28"/>
      <c r="P531" s="28"/>
      <c r="Q531" s="28"/>
      <c r="R531" s="28"/>
      <c r="S531" s="28"/>
      <c r="T531" s="28"/>
      <c r="U531" s="28"/>
      <c r="V531" s="28">
        <v>1295</v>
      </c>
    </row>
    <row r="532" spans="1:23" s="7" customFormat="1" ht="51" x14ac:dyDescent="0.2">
      <c r="A532" s="28" t="s">
        <v>457</v>
      </c>
      <c r="B532" s="28" t="s">
        <v>531</v>
      </c>
      <c r="C532" s="28"/>
      <c r="D532" s="28"/>
      <c r="E532" s="28"/>
      <c r="F532" s="28"/>
      <c r="G532" s="28"/>
      <c r="H532" s="28"/>
      <c r="I532" s="28"/>
      <c r="J532" s="28"/>
      <c r="K532" s="28"/>
      <c r="L532" s="28"/>
      <c r="M532" s="28"/>
      <c r="N532" s="28"/>
      <c r="O532" s="28"/>
      <c r="P532" s="28"/>
      <c r="Q532" s="28"/>
      <c r="R532" s="28"/>
      <c r="S532" s="28"/>
      <c r="T532" s="28"/>
      <c r="U532" s="28"/>
      <c r="V532" s="28">
        <v>1</v>
      </c>
    </row>
    <row r="533" spans="1:23" ht="38.25" x14ac:dyDescent="0.2">
      <c r="A533" s="28" t="s">
        <v>457</v>
      </c>
      <c r="B533" s="28" t="s">
        <v>532</v>
      </c>
      <c r="C533" s="28"/>
      <c r="D533" s="28"/>
      <c r="E533" s="28"/>
      <c r="F533" s="28"/>
      <c r="G533" s="28"/>
      <c r="H533" s="28"/>
      <c r="I533" s="28"/>
      <c r="J533" s="28"/>
      <c r="K533" s="28"/>
      <c r="L533" s="28"/>
      <c r="M533" s="28"/>
      <c r="N533" s="28"/>
      <c r="O533" s="28"/>
      <c r="P533" s="28"/>
      <c r="Q533" s="28"/>
      <c r="R533" s="28"/>
      <c r="S533" s="28"/>
      <c r="T533" s="28"/>
      <c r="U533" s="28"/>
      <c r="V533" s="28">
        <v>343</v>
      </c>
    </row>
    <row r="534" spans="1:23" ht="51" x14ac:dyDescent="0.2">
      <c r="A534" s="28" t="s">
        <v>457</v>
      </c>
      <c r="B534" s="28" t="s">
        <v>533</v>
      </c>
      <c r="C534" s="28"/>
      <c r="D534" s="28"/>
      <c r="E534" s="28"/>
      <c r="F534" s="28"/>
      <c r="G534" s="28"/>
      <c r="H534" s="28"/>
      <c r="I534" s="28"/>
      <c r="J534" s="28"/>
      <c r="K534" s="28"/>
      <c r="L534" s="28"/>
      <c r="M534" s="28"/>
      <c r="N534" s="28"/>
      <c r="O534" s="28"/>
      <c r="P534" s="28"/>
      <c r="Q534" s="28"/>
      <c r="R534" s="28"/>
      <c r="S534" s="28"/>
      <c r="T534" s="28"/>
      <c r="U534" s="28"/>
      <c r="V534" s="28">
        <v>35</v>
      </c>
    </row>
    <row r="535" spans="1:23" ht="38.25" x14ac:dyDescent="0.2">
      <c r="A535" s="28" t="s">
        <v>457</v>
      </c>
      <c r="B535" s="28" t="s">
        <v>534</v>
      </c>
      <c r="C535" s="28"/>
      <c r="D535" s="28"/>
      <c r="E535" s="28"/>
      <c r="F535" s="28"/>
      <c r="G535" s="28"/>
      <c r="H535" s="28"/>
      <c r="I535" s="28"/>
      <c r="J535" s="28"/>
      <c r="K535" s="28"/>
      <c r="L535" s="28"/>
      <c r="M535" s="28"/>
      <c r="N535" s="28"/>
      <c r="O535" s="28"/>
      <c r="P535" s="28"/>
      <c r="Q535" s="28"/>
      <c r="R535" s="28"/>
      <c r="S535" s="28"/>
      <c r="T535" s="28"/>
      <c r="U535" s="28"/>
      <c r="V535" s="28">
        <v>4578</v>
      </c>
    </row>
    <row r="536" spans="1:23" ht="51" x14ac:dyDescent="0.2">
      <c r="A536" s="28" t="s">
        <v>457</v>
      </c>
      <c r="B536" s="28" t="s">
        <v>535</v>
      </c>
      <c r="C536" s="28"/>
      <c r="D536" s="28"/>
      <c r="E536" s="28"/>
      <c r="F536" s="28"/>
      <c r="G536" s="28"/>
      <c r="H536" s="28"/>
      <c r="I536" s="28"/>
      <c r="J536" s="28"/>
      <c r="K536" s="28"/>
      <c r="L536" s="28"/>
      <c r="M536" s="28"/>
      <c r="N536" s="28"/>
      <c r="O536" s="28"/>
      <c r="P536" s="28"/>
      <c r="Q536" s="28"/>
      <c r="R536" s="28"/>
      <c r="S536" s="28"/>
      <c r="T536" s="28"/>
      <c r="U536" s="28"/>
      <c r="V536" s="28">
        <v>125</v>
      </c>
    </row>
    <row r="537" spans="1:23" ht="63.75" x14ac:dyDescent="0.2">
      <c r="A537" s="28" t="s">
        <v>457</v>
      </c>
      <c r="B537" s="28" t="s">
        <v>536</v>
      </c>
      <c r="C537" s="28"/>
      <c r="D537" s="28"/>
      <c r="E537" s="28"/>
      <c r="F537" s="28"/>
      <c r="G537" s="28"/>
      <c r="H537" s="28"/>
      <c r="I537" s="28"/>
      <c r="J537" s="28"/>
      <c r="K537" s="28"/>
      <c r="L537" s="28"/>
      <c r="M537" s="28"/>
      <c r="N537" s="28"/>
      <c r="O537" s="28"/>
      <c r="P537" s="28"/>
      <c r="Q537" s="28"/>
      <c r="R537" s="28"/>
      <c r="S537" s="28"/>
      <c r="T537" s="28"/>
      <c r="U537" s="28"/>
      <c r="V537" s="28">
        <v>353</v>
      </c>
    </row>
    <row r="538" spans="1:23" ht="63.75" x14ac:dyDescent="0.2">
      <c r="A538" s="28" t="s">
        <v>457</v>
      </c>
      <c r="B538" s="28" t="s">
        <v>537</v>
      </c>
      <c r="C538" s="28"/>
      <c r="D538" s="28"/>
      <c r="E538" s="28"/>
      <c r="F538" s="28"/>
      <c r="G538" s="28"/>
      <c r="H538" s="28"/>
      <c r="I538" s="28"/>
      <c r="J538" s="28"/>
      <c r="K538" s="28"/>
      <c r="L538" s="28"/>
      <c r="M538" s="28"/>
      <c r="N538" s="28"/>
      <c r="O538" s="28"/>
      <c r="P538" s="28"/>
      <c r="Q538" s="28"/>
      <c r="R538" s="28"/>
      <c r="S538" s="28"/>
      <c r="T538" s="28"/>
      <c r="U538" s="28"/>
      <c r="V538" s="28">
        <v>1</v>
      </c>
    </row>
    <row r="539" spans="1:23" ht="38.25" x14ac:dyDescent="0.2">
      <c r="A539" s="28" t="s">
        <v>457</v>
      </c>
      <c r="B539" s="28" t="s">
        <v>538</v>
      </c>
      <c r="C539" s="28"/>
      <c r="D539" s="28"/>
      <c r="E539" s="28"/>
      <c r="F539" s="28"/>
      <c r="G539" s="28"/>
      <c r="H539" s="28"/>
      <c r="I539" s="28"/>
      <c r="J539" s="28"/>
      <c r="K539" s="28"/>
      <c r="L539" s="28"/>
      <c r="M539" s="28"/>
      <c r="N539" s="28"/>
      <c r="O539" s="28"/>
      <c r="P539" s="28"/>
      <c r="Q539" s="28"/>
      <c r="R539" s="28"/>
      <c r="S539" s="28"/>
      <c r="T539" s="28"/>
      <c r="U539" s="28"/>
      <c r="V539" s="28">
        <v>4060</v>
      </c>
    </row>
    <row r="540" spans="1:23" ht="51" x14ac:dyDescent="0.2">
      <c r="A540" s="28" t="s">
        <v>457</v>
      </c>
      <c r="B540" s="28" t="s">
        <v>539</v>
      </c>
      <c r="C540" s="28"/>
      <c r="D540" s="28"/>
      <c r="E540" s="28"/>
      <c r="F540" s="28"/>
      <c r="G540" s="28"/>
      <c r="H540" s="28"/>
      <c r="I540" s="28"/>
      <c r="J540" s="28"/>
      <c r="K540" s="28"/>
      <c r="L540" s="28"/>
      <c r="M540" s="28"/>
      <c r="N540" s="28"/>
      <c r="O540" s="28"/>
      <c r="P540" s="28"/>
      <c r="Q540" s="28"/>
      <c r="R540" s="28"/>
      <c r="S540" s="28"/>
      <c r="T540" s="28"/>
      <c r="U540" s="28"/>
      <c r="V540" s="28">
        <v>129</v>
      </c>
    </row>
    <row r="541" spans="1:23" ht="25.5" x14ac:dyDescent="0.2">
      <c r="A541" s="28" t="s">
        <v>457</v>
      </c>
      <c r="B541" s="28" t="s">
        <v>540</v>
      </c>
      <c r="C541" s="28">
        <v>18</v>
      </c>
      <c r="D541" s="28">
        <v>26</v>
      </c>
      <c r="E541" s="28">
        <v>5</v>
      </c>
      <c r="F541" s="28">
        <v>24</v>
      </c>
      <c r="G541" s="28">
        <v>24</v>
      </c>
      <c r="H541" s="28">
        <v>37</v>
      </c>
      <c r="I541" s="28">
        <v>26</v>
      </c>
      <c r="J541" s="28">
        <v>45</v>
      </c>
      <c r="K541" s="28">
        <v>29</v>
      </c>
      <c r="L541" s="28">
        <v>8</v>
      </c>
      <c r="M541" s="28">
        <v>13</v>
      </c>
      <c r="N541" s="28">
        <v>4</v>
      </c>
      <c r="O541" s="28">
        <v>5</v>
      </c>
      <c r="P541" s="28">
        <v>3</v>
      </c>
      <c r="Q541" s="28">
        <v>1</v>
      </c>
      <c r="R541" s="28">
        <v>21</v>
      </c>
      <c r="S541" s="28">
        <v>8</v>
      </c>
      <c r="T541" s="28">
        <v>23</v>
      </c>
      <c r="U541" s="28">
        <v>25</v>
      </c>
      <c r="V541" s="28">
        <v>20</v>
      </c>
      <c r="W541" s="7"/>
    </row>
    <row r="542" spans="1:23" ht="51" x14ac:dyDescent="0.2">
      <c r="A542" s="28" t="s">
        <v>457</v>
      </c>
      <c r="B542" s="28" t="s">
        <v>541</v>
      </c>
      <c r="C542" s="28">
        <v>701</v>
      </c>
      <c r="D542" s="28">
        <f>599-16</f>
        <v>583</v>
      </c>
      <c r="E542" s="28">
        <v>633</v>
      </c>
      <c r="F542" s="28">
        <v>642</v>
      </c>
      <c r="G542" s="28">
        <v>581</v>
      </c>
      <c r="H542" s="28">
        <v>689</v>
      </c>
      <c r="I542" s="28">
        <f>617-1</f>
        <v>616</v>
      </c>
      <c r="J542" s="28">
        <v>507</v>
      </c>
      <c r="K542" s="28">
        <f>531-3</f>
        <v>528</v>
      </c>
      <c r="L542" s="28">
        <f>452-2</f>
        <v>450</v>
      </c>
      <c r="M542" s="28">
        <v>422</v>
      </c>
      <c r="N542" s="28">
        <f>437-8</f>
        <v>429</v>
      </c>
      <c r="O542" s="28">
        <v>417</v>
      </c>
      <c r="P542" s="28">
        <v>404</v>
      </c>
      <c r="Q542" s="28">
        <v>341</v>
      </c>
      <c r="R542" s="28">
        <f>382+352</f>
        <v>734</v>
      </c>
      <c r="S542" s="28">
        <f>399+245</f>
        <v>644</v>
      </c>
      <c r="T542" s="28">
        <v>487</v>
      </c>
      <c r="U542" s="28">
        <v>495</v>
      </c>
      <c r="V542" s="28">
        <v>295</v>
      </c>
      <c r="W542" s="4"/>
    </row>
    <row r="543" spans="1:23" ht="51" x14ac:dyDescent="0.2">
      <c r="A543" s="28" t="s">
        <v>457</v>
      </c>
      <c r="B543" s="28" t="s">
        <v>542</v>
      </c>
      <c r="C543" s="28"/>
      <c r="D543" s="28"/>
      <c r="E543" s="28"/>
      <c r="F543" s="28"/>
      <c r="G543" s="28"/>
      <c r="H543" s="28"/>
      <c r="I543" s="28"/>
      <c r="J543" s="28"/>
      <c r="K543" s="28">
        <v>94</v>
      </c>
      <c r="L543" s="28">
        <v>1069</v>
      </c>
      <c r="M543" s="28">
        <v>2104</v>
      </c>
      <c r="N543" s="28">
        <v>2270</v>
      </c>
      <c r="O543" s="28">
        <v>3817</v>
      </c>
      <c r="P543" s="28">
        <v>6381</v>
      </c>
      <c r="Q543" s="28">
        <v>6844</v>
      </c>
      <c r="R543" s="28">
        <v>7228</v>
      </c>
      <c r="S543" s="28">
        <v>4745</v>
      </c>
      <c r="T543" s="28">
        <v>7855</v>
      </c>
      <c r="U543" s="28">
        <v>8217</v>
      </c>
      <c r="V543" s="28">
        <v>7879</v>
      </c>
      <c r="W543" s="4"/>
    </row>
    <row r="544" spans="1:23" ht="51" x14ac:dyDescent="0.2">
      <c r="A544" s="28" t="s">
        <v>457</v>
      </c>
      <c r="B544" s="28" t="s">
        <v>543</v>
      </c>
      <c r="C544" s="28"/>
      <c r="D544" s="28"/>
      <c r="E544" s="28"/>
      <c r="F544" s="28"/>
      <c r="G544" s="28"/>
      <c r="H544" s="28"/>
      <c r="I544" s="28"/>
      <c r="J544" s="28"/>
      <c r="K544" s="28">
        <v>71</v>
      </c>
      <c r="L544" s="28">
        <v>487</v>
      </c>
      <c r="M544" s="28">
        <v>1647</v>
      </c>
      <c r="N544" s="28">
        <f>2331-434</f>
        <v>1897</v>
      </c>
      <c r="O544" s="28">
        <f>3767-97</f>
        <v>3670</v>
      </c>
      <c r="P544" s="28">
        <v>5110</v>
      </c>
      <c r="Q544" s="28">
        <v>6517</v>
      </c>
      <c r="R544" s="28">
        <v>7457</v>
      </c>
      <c r="S544" s="28">
        <v>7139</v>
      </c>
      <c r="T544" s="28">
        <v>7937</v>
      </c>
      <c r="U544" s="28">
        <v>8621</v>
      </c>
      <c r="V544" s="28">
        <v>8952</v>
      </c>
      <c r="W544" s="4"/>
    </row>
    <row r="545" spans="1:22" ht="51" x14ac:dyDescent="0.2">
      <c r="A545" s="28" t="s">
        <v>457</v>
      </c>
      <c r="B545" s="28" t="s">
        <v>544</v>
      </c>
      <c r="C545" s="28">
        <f>247959+697</f>
        <v>248656</v>
      </c>
      <c r="D545" s="28">
        <f>257728+1788</f>
        <v>259516</v>
      </c>
      <c r="E545" s="28">
        <f>278436+1723</f>
        <v>280159</v>
      </c>
      <c r="F545" s="28">
        <f>265958+1624</f>
        <v>267582</v>
      </c>
      <c r="G545" s="28">
        <f>246608+1278</f>
        <v>247886</v>
      </c>
      <c r="H545" s="28">
        <f>172534+1203</f>
        <v>173737</v>
      </c>
      <c r="I545" s="28">
        <f>167142+1200</f>
        <v>168342</v>
      </c>
      <c r="J545" s="28">
        <f>164445+1666</f>
        <v>166111</v>
      </c>
      <c r="K545" s="28">
        <f>132835-8899</f>
        <v>123936</v>
      </c>
      <c r="L545" s="28">
        <f>141181+1486</f>
        <v>142667</v>
      </c>
      <c r="M545" s="28">
        <v>144285</v>
      </c>
      <c r="N545" s="28">
        <f>145243-8</f>
        <v>145235</v>
      </c>
      <c r="O545" s="28">
        <v>116739</v>
      </c>
      <c r="P545" s="28">
        <v>121980</v>
      </c>
      <c r="Q545" s="28">
        <f>133175-1</f>
        <v>133174</v>
      </c>
      <c r="R545" s="28">
        <f>133213-403</f>
        <v>132810</v>
      </c>
      <c r="S545" s="28">
        <f>134466+245</f>
        <v>134711</v>
      </c>
      <c r="T545" s="28">
        <f>143348+178</f>
        <v>143526</v>
      </c>
      <c r="U545" s="28">
        <f>166009+147</f>
        <v>166156</v>
      </c>
      <c r="V545" s="28">
        <f>159784-80</f>
        <v>159704</v>
      </c>
    </row>
    <row r="546" spans="1:22" ht="51" x14ac:dyDescent="0.2">
      <c r="A546" s="28" t="s">
        <v>457</v>
      </c>
      <c r="B546" s="28" t="s">
        <v>545</v>
      </c>
      <c r="C546" s="28">
        <v>88778</v>
      </c>
      <c r="D546" s="28">
        <v>116241</v>
      </c>
      <c r="E546" s="28">
        <v>98157</v>
      </c>
      <c r="F546" s="28">
        <v>93312</v>
      </c>
      <c r="G546" s="28">
        <v>92219</v>
      </c>
      <c r="H546" s="28">
        <v>71988</v>
      </c>
      <c r="I546" s="28">
        <v>71235</v>
      </c>
      <c r="J546" s="28">
        <v>43234</v>
      </c>
      <c r="K546" s="28">
        <v>76295</v>
      </c>
      <c r="L546" s="28">
        <v>100129</v>
      </c>
      <c r="M546" s="28">
        <v>91754</v>
      </c>
      <c r="N546" s="28">
        <v>100505</v>
      </c>
      <c r="O546" s="28">
        <v>91616</v>
      </c>
      <c r="P546" s="28">
        <v>93320</v>
      </c>
      <c r="Q546" s="28">
        <v>98450</v>
      </c>
      <c r="R546" s="28">
        <v>99630</v>
      </c>
      <c r="S546" s="28">
        <v>101428</v>
      </c>
      <c r="T546" s="28">
        <v>95704</v>
      </c>
      <c r="U546" s="28">
        <v>86348</v>
      </c>
      <c r="V546" s="28">
        <v>74339</v>
      </c>
    </row>
    <row r="547" spans="1:22" ht="51" x14ac:dyDescent="0.2">
      <c r="A547" s="28" t="s">
        <v>457</v>
      </c>
      <c r="B547" s="28" t="s">
        <v>546</v>
      </c>
      <c r="C547" s="28"/>
      <c r="D547" s="28"/>
      <c r="E547" s="28"/>
      <c r="F547" s="28"/>
      <c r="G547" s="28"/>
      <c r="H547" s="28"/>
      <c r="I547" s="28"/>
      <c r="J547" s="28">
        <v>50508</v>
      </c>
      <c r="K547" s="28">
        <v>60128</v>
      </c>
      <c r="L547" s="28">
        <v>50400</v>
      </c>
      <c r="M547" s="28">
        <v>47002</v>
      </c>
      <c r="N547" s="28">
        <v>44474</v>
      </c>
      <c r="O547" s="28">
        <v>40511</v>
      </c>
      <c r="P547" s="28">
        <v>42392</v>
      </c>
      <c r="Q547" s="28">
        <v>45814</v>
      </c>
      <c r="R547" s="28">
        <v>45678</v>
      </c>
      <c r="S547" s="28">
        <v>41947</v>
      </c>
      <c r="T547" s="28">
        <v>40880</v>
      </c>
      <c r="U547" s="28">
        <v>46656</v>
      </c>
      <c r="V547" s="28">
        <v>53158</v>
      </c>
    </row>
    <row r="548" spans="1:22" ht="51" x14ac:dyDescent="0.2">
      <c r="A548" s="28" t="s">
        <v>457</v>
      </c>
      <c r="B548" s="28" t="s">
        <v>547</v>
      </c>
      <c r="C548" s="28">
        <v>105437</v>
      </c>
      <c r="D548" s="28">
        <v>126524</v>
      </c>
      <c r="E548" s="28">
        <v>146857</v>
      </c>
      <c r="F548" s="28">
        <v>145782</v>
      </c>
      <c r="G548" s="28">
        <v>157806</v>
      </c>
      <c r="H548" s="28">
        <v>60949</v>
      </c>
      <c r="I548" s="28">
        <v>57516</v>
      </c>
      <c r="J548" s="28">
        <v>40285</v>
      </c>
      <c r="K548" s="28">
        <v>45913</v>
      </c>
      <c r="L548" s="28">
        <v>57116</v>
      </c>
      <c r="M548" s="28">
        <v>48623</v>
      </c>
      <c r="N548" s="28">
        <v>54014</v>
      </c>
      <c r="O548" s="28">
        <v>44641</v>
      </c>
      <c r="P548" s="28">
        <v>48489</v>
      </c>
      <c r="Q548" s="28">
        <v>45550</v>
      </c>
      <c r="R548" s="28">
        <v>48834</v>
      </c>
      <c r="S548" s="28">
        <v>61124</v>
      </c>
      <c r="T548" s="28">
        <v>62863</v>
      </c>
      <c r="U548" s="28">
        <v>76264</v>
      </c>
      <c r="V548" s="28">
        <v>58800</v>
      </c>
    </row>
    <row r="549" spans="1:22" ht="51" x14ac:dyDescent="0.2">
      <c r="A549" s="28" t="s">
        <v>457</v>
      </c>
      <c r="B549" s="28" t="s">
        <v>548</v>
      </c>
      <c r="C549" s="28">
        <v>26723</v>
      </c>
      <c r="D549" s="28">
        <v>29711</v>
      </c>
      <c r="E549" s="28">
        <v>34048</v>
      </c>
      <c r="F549" s="28">
        <v>33851</v>
      </c>
      <c r="G549" s="28">
        <v>36811</v>
      </c>
      <c r="H549" s="28">
        <v>19921</v>
      </c>
      <c r="I549" s="28">
        <v>18770</v>
      </c>
      <c r="J549" s="28">
        <v>20205</v>
      </c>
      <c r="K549" s="28">
        <v>21687</v>
      </c>
      <c r="L549" s="28">
        <v>25397</v>
      </c>
      <c r="M549" s="28">
        <v>26621</v>
      </c>
      <c r="N549" s="28">
        <v>25355</v>
      </c>
      <c r="O549" s="28">
        <v>23894</v>
      </c>
      <c r="P549" s="28">
        <v>24069</v>
      </c>
      <c r="Q549" s="28">
        <v>24836</v>
      </c>
      <c r="R549" s="28">
        <v>24666</v>
      </c>
      <c r="S549" s="28">
        <v>24500</v>
      </c>
      <c r="T549" s="28">
        <v>27322</v>
      </c>
      <c r="U549" s="28">
        <v>29535</v>
      </c>
      <c r="V549" s="28">
        <v>41216</v>
      </c>
    </row>
    <row r="550" spans="1:22" ht="51" x14ac:dyDescent="0.2">
      <c r="A550" s="28" t="s">
        <v>457</v>
      </c>
      <c r="B550" s="28" t="s">
        <v>549</v>
      </c>
      <c r="C550" s="28"/>
      <c r="D550" s="28"/>
      <c r="E550" s="28"/>
      <c r="F550" s="28"/>
      <c r="G550" s="28"/>
      <c r="H550" s="28"/>
      <c r="I550" s="28"/>
      <c r="J550" s="28">
        <v>20720</v>
      </c>
      <c r="K550" s="28">
        <v>24891</v>
      </c>
      <c r="L550" s="28">
        <v>20499</v>
      </c>
      <c r="M550" s="28">
        <v>27756</v>
      </c>
      <c r="N550" s="28">
        <v>24379</v>
      </c>
      <c r="O550" s="28">
        <v>26855</v>
      </c>
      <c r="P550" s="28">
        <v>31401</v>
      </c>
      <c r="Q550" s="28">
        <v>27832</v>
      </c>
      <c r="R550" s="28">
        <v>24329</v>
      </c>
      <c r="S550" s="28">
        <v>29140</v>
      </c>
      <c r="T550" s="28">
        <v>34877</v>
      </c>
      <c r="U550" s="28">
        <v>35748</v>
      </c>
      <c r="V550" s="28">
        <v>32271</v>
      </c>
    </row>
    <row r="551" spans="1:22" ht="38.25" x14ac:dyDescent="0.2">
      <c r="A551" s="28" t="s">
        <v>457</v>
      </c>
      <c r="B551" s="28" t="s">
        <v>550</v>
      </c>
      <c r="C551" s="28">
        <v>56775</v>
      </c>
      <c r="D551" s="28">
        <v>72198</v>
      </c>
      <c r="E551" s="28">
        <v>76218</v>
      </c>
      <c r="F551" s="28">
        <v>74290</v>
      </c>
      <c r="G551" s="28">
        <v>75192</v>
      </c>
      <c r="H551" s="28">
        <v>41471</v>
      </c>
      <c r="I551" s="28">
        <v>40325</v>
      </c>
      <c r="J551" s="28">
        <v>43576</v>
      </c>
      <c r="K551" s="28">
        <v>45816</v>
      </c>
      <c r="L551" s="28">
        <v>56702</v>
      </c>
      <c r="M551" s="28">
        <v>63956</v>
      </c>
      <c r="N551" s="28">
        <v>61594</v>
      </c>
      <c r="O551" s="28">
        <v>60783</v>
      </c>
      <c r="P551" s="28">
        <v>54133</v>
      </c>
      <c r="Q551" s="28">
        <v>50211</v>
      </c>
      <c r="R551" s="28">
        <v>51092</v>
      </c>
      <c r="S551" s="28">
        <v>57463</v>
      </c>
      <c r="T551" s="28">
        <v>67158</v>
      </c>
      <c r="U551" s="28">
        <v>62296</v>
      </c>
      <c r="V551" s="28">
        <v>69601</v>
      </c>
    </row>
    <row r="552" spans="1:22" ht="38.25" x14ac:dyDescent="0.2">
      <c r="A552" s="28" t="s">
        <v>457</v>
      </c>
      <c r="B552" s="28" t="s">
        <v>551</v>
      </c>
      <c r="C552" s="28">
        <v>58332</v>
      </c>
      <c r="D552" s="28">
        <v>60345</v>
      </c>
      <c r="E552" s="28">
        <v>70154</v>
      </c>
      <c r="F552" s="28">
        <v>60531</v>
      </c>
      <c r="G552" s="28">
        <v>63905</v>
      </c>
      <c r="H552" s="28">
        <v>46366</v>
      </c>
      <c r="I552" s="28">
        <v>43249</v>
      </c>
      <c r="J552" s="28">
        <v>49284</v>
      </c>
      <c r="K552" s="28">
        <v>53144</v>
      </c>
      <c r="L552" s="28">
        <v>61920</v>
      </c>
      <c r="M552" s="28">
        <v>55687</v>
      </c>
      <c r="N552" s="28">
        <v>59210</v>
      </c>
      <c r="O552" s="28">
        <v>47740</v>
      </c>
      <c r="P552" s="28">
        <v>48177</v>
      </c>
      <c r="Q552" s="28">
        <v>51121</v>
      </c>
      <c r="R552" s="28">
        <v>50764</v>
      </c>
      <c r="S552" s="28">
        <v>54006</v>
      </c>
      <c r="T552" s="28">
        <v>55458</v>
      </c>
      <c r="U552" s="28">
        <v>60572</v>
      </c>
      <c r="V552" s="28">
        <v>70354</v>
      </c>
    </row>
    <row r="553" spans="1:22" ht="51" x14ac:dyDescent="0.2">
      <c r="A553" s="28" t="s">
        <v>457</v>
      </c>
      <c r="B553" s="28" t="s">
        <v>552</v>
      </c>
      <c r="C553" s="28">
        <v>51517</v>
      </c>
      <c r="D553" s="28">
        <v>66846</v>
      </c>
      <c r="E553" s="28">
        <v>65564</v>
      </c>
      <c r="F553" s="28">
        <v>65261</v>
      </c>
      <c r="G553" s="28">
        <v>71110</v>
      </c>
      <c r="H553" s="28">
        <v>37066</v>
      </c>
      <c r="I553" s="28">
        <v>36249</v>
      </c>
      <c r="J553" s="28">
        <v>20287</v>
      </c>
      <c r="K553" s="28">
        <v>22445</v>
      </c>
      <c r="L553" s="28">
        <v>25584</v>
      </c>
      <c r="M553" s="28">
        <v>24965</v>
      </c>
      <c r="N553" s="28">
        <v>23897</v>
      </c>
      <c r="O553" s="28">
        <v>22389</v>
      </c>
      <c r="P553" s="28">
        <v>22136</v>
      </c>
      <c r="Q553" s="28">
        <v>22241</v>
      </c>
      <c r="R553" s="28">
        <v>22743</v>
      </c>
      <c r="S553" s="28">
        <v>21768</v>
      </c>
      <c r="T553" s="28">
        <v>22959</v>
      </c>
      <c r="U553" s="28">
        <v>28839</v>
      </c>
      <c r="V553" s="28">
        <v>31123</v>
      </c>
    </row>
    <row r="554" spans="1:22" ht="51" x14ac:dyDescent="0.2">
      <c r="A554" s="28" t="s">
        <v>457</v>
      </c>
      <c r="B554" s="28" t="s">
        <v>553</v>
      </c>
      <c r="C554" s="28"/>
      <c r="D554" s="28"/>
      <c r="E554" s="28"/>
      <c r="F554" s="28"/>
      <c r="G554" s="28"/>
      <c r="H554" s="28"/>
      <c r="I554" s="28"/>
      <c r="J554" s="28">
        <v>20151</v>
      </c>
      <c r="K554" s="28">
        <v>22872</v>
      </c>
      <c r="L554" s="28">
        <v>25094</v>
      </c>
      <c r="M554" s="28">
        <v>22840</v>
      </c>
      <c r="N554" s="28">
        <v>22744</v>
      </c>
      <c r="O554" s="28">
        <v>21660</v>
      </c>
      <c r="P554" s="28">
        <v>21515</v>
      </c>
      <c r="Q554" s="28">
        <v>21896</v>
      </c>
      <c r="R554" s="28">
        <v>21966</v>
      </c>
      <c r="S554" s="28">
        <v>22891</v>
      </c>
      <c r="T554" s="28">
        <v>23620</v>
      </c>
      <c r="U554" s="28">
        <v>24581</v>
      </c>
      <c r="V554" s="28">
        <v>30515</v>
      </c>
    </row>
    <row r="555" spans="1:22" ht="51" x14ac:dyDescent="0.2">
      <c r="A555" s="28" t="s">
        <v>457</v>
      </c>
      <c r="B555" s="28" t="s">
        <v>554</v>
      </c>
      <c r="C555" s="28">
        <v>50842</v>
      </c>
      <c r="D555" s="28">
        <v>62775</v>
      </c>
      <c r="E555" s="28">
        <v>76033</v>
      </c>
      <c r="F555" s="28">
        <v>59466</v>
      </c>
      <c r="G555" s="28">
        <v>67922</v>
      </c>
      <c r="H555" s="28">
        <v>31765</v>
      </c>
      <c r="I555" s="28">
        <v>32417</v>
      </c>
      <c r="J555" s="28">
        <v>35375</v>
      </c>
      <c r="K555" s="28">
        <v>37497</v>
      </c>
      <c r="L555" s="28">
        <v>39516</v>
      </c>
      <c r="M555" s="28">
        <v>37367</v>
      </c>
      <c r="N555" s="28">
        <v>35526</v>
      </c>
      <c r="O555" s="28">
        <v>31972</v>
      </c>
      <c r="P555" s="28">
        <v>34709</v>
      </c>
      <c r="Q555" s="28">
        <v>33333</v>
      </c>
      <c r="R555" s="28">
        <v>31325</v>
      </c>
      <c r="S555" s="28">
        <v>30691</v>
      </c>
      <c r="T555" s="28">
        <v>33151</v>
      </c>
      <c r="U555" s="28">
        <v>38448</v>
      </c>
      <c r="V555" s="28">
        <v>41654</v>
      </c>
    </row>
    <row r="556" spans="1:22" ht="51" x14ac:dyDescent="0.2">
      <c r="A556" s="28" t="s">
        <v>457</v>
      </c>
      <c r="B556" s="28" t="s">
        <v>555</v>
      </c>
      <c r="C556" s="28">
        <v>45615</v>
      </c>
      <c r="D556" s="28">
        <v>56684</v>
      </c>
      <c r="E556" s="28">
        <v>71625</v>
      </c>
      <c r="F556" s="28">
        <v>57154</v>
      </c>
      <c r="G556" s="28">
        <v>65377</v>
      </c>
      <c r="H556" s="28">
        <v>31276</v>
      </c>
      <c r="I556" s="28">
        <v>29033</v>
      </c>
      <c r="J556" s="28">
        <v>15997</v>
      </c>
      <c r="K556" s="28">
        <v>19152</v>
      </c>
      <c r="L556" s="28">
        <v>21518</v>
      </c>
      <c r="M556" s="28">
        <v>22526</v>
      </c>
      <c r="N556" s="28">
        <v>20346</v>
      </c>
      <c r="O556" s="28">
        <v>24911</v>
      </c>
      <c r="P556" s="28">
        <v>21979</v>
      </c>
      <c r="Q556" s="28">
        <v>23059</v>
      </c>
      <c r="R556" s="28">
        <v>21027</v>
      </c>
      <c r="S556" s="28">
        <v>21632</v>
      </c>
      <c r="T556" s="28">
        <v>23263</v>
      </c>
      <c r="U556" s="28">
        <v>25212</v>
      </c>
      <c r="V556" s="28">
        <v>29986</v>
      </c>
    </row>
    <row r="557" spans="1:22" ht="51" x14ac:dyDescent="0.2">
      <c r="A557" s="28" t="s">
        <v>457</v>
      </c>
      <c r="B557" s="28" t="s">
        <v>556</v>
      </c>
      <c r="C557" s="28"/>
      <c r="D557" s="28"/>
      <c r="E557" s="28"/>
      <c r="F557" s="28"/>
      <c r="G557" s="28"/>
      <c r="H557" s="28"/>
      <c r="I557" s="28"/>
      <c r="J557" s="28">
        <v>16205</v>
      </c>
      <c r="K557" s="28">
        <v>19349</v>
      </c>
      <c r="L557" s="28">
        <v>22623</v>
      </c>
      <c r="M557" s="28">
        <v>22276</v>
      </c>
      <c r="N557" s="28">
        <v>20519</v>
      </c>
      <c r="O557" s="28">
        <v>17888</v>
      </c>
      <c r="P557" s="28">
        <v>18988</v>
      </c>
      <c r="Q557" s="28">
        <v>18182</v>
      </c>
      <c r="R557" s="28">
        <v>18342</v>
      </c>
      <c r="S557" s="28">
        <v>18235</v>
      </c>
      <c r="T557" s="28">
        <v>17781</v>
      </c>
      <c r="U557" s="28">
        <v>18913</v>
      </c>
      <c r="V557" s="28">
        <v>25888</v>
      </c>
    </row>
    <row r="558" spans="1:22" ht="51" x14ac:dyDescent="0.2">
      <c r="A558" s="28" t="s">
        <v>457</v>
      </c>
      <c r="B558" s="28" t="s">
        <v>557</v>
      </c>
      <c r="C558" s="28">
        <v>31333</v>
      </c>
      <c r="D558" s="28">
        <v>37854</v>
      </c>
      <c r="E558" s="28">
        <v>34156</v>
      </c>
      <c r="F558" s="28">
        <v>33947</v>
      </c>
      <c r="G558" s="28">
        <v>35157</v>
      </c>
      <c r="H558" s="28">
        <v>20872</v>
      </c>
      <c r="I558" s="28">
        <v>21123</v>
      </c>
      <c r="J558" s="28">
        <v>21497</v>
      </c>
      <c r="K558" s="28">
        <v>21528</v>
      </c>
      <c r="L558" s="28">
        <v>26023</v>
      </c>
      <c r="M558" s="28">
        <v>25210</v>
      </c>
      <c r="N558" s="28">
        <v>25293</v>
      </c>
      <c r="O558" s="28">
        <v>23474</v>
      </c>
      <c r="P558" s="28">
        <v>21313</v>
      </c>
      <c r="Q558" s="28">
        <v>22726</v>
      </c>
      <c r="R558" s="28">
        <v>19392</v>
      </c>
      <c r="S558" s="28">
        <v>21182</v>
      </c>
      <c r="T558" s="28">
        <v>23729</v>
      </c>
      <c r="U558" s="28">
        <v>26470</v>
      </c>
      <c r="V558" s="28">
        <v>31546</v>
      </c>
    </row>
    <row r="559" spans="1:22" ht="51" x14ac:dyDescent="0.2">
      <c r="A559" s="28" t="s">
        <v>457</v>
      </c>
      <c r="B559" s="28" t="s">
        <v>558</v>
      </c>
      <c r="C559" s="28">
        <v>35062</v>
      </c>
      <c r="D559" s="28">
        <v>47307</v>
      </c>
      <c r="E559" s="28">
        <v>45286</v>
      </c>
      <c r="F559" s="28">
        <v>37388</v>
      </c>
      <c r="G559" s="28">
        <v>41740</v>
      </c>
      <c r="H559" s="28">
        <v>19590</v>
      </c>
      <c r="I559" s="28">
        <v>19318</v>
      </c>
      <c r="J559" s="28">
        <v>21012</v>
      </c>
      <c r="K559" s="28">
        <v>24296</v>
      </c>
      <c r="L559" s="28">
        <v>28942</v>
      </c>
      <c r="M559" s="28">
        <v>28268</v>
      </c>
      <c r="N559" s="28">
        <v>27511</v>
      </c>
      <c r="O559" s="28">
        <v>27079</v>
      </c>
      <c r="P559" s="28">
        <v>25156</v>
      </c>
      <c r="Q559" s="28">
        <v>26447</v>
      </c>
      <c r="R559" s="28">
        <v>25356</v>
      </c>
      <c r="S559" s="28">
        <v>25457</v>
      </c>
      <c r="T559" s="28">
        <v>28299</v>
      </c>
      <c r="U559" s="28">
        <v>29373</v>
      </c>
      <c r="V559" s="28">
        <v>40523</v>
      </c>
    </row>
    <row r="560" spans="1:22" ht="51" x14ac:dyDescent="0.2">
      <c r="A560" s="28" t="s">
        <v>457</v>
      </c>
      <c r="B560" s="28" t="s">
        <v>559</v>
      </c>
      <c r="C560" s="28">
        <f>C561+C573+C575+C576</f>
        <v>765954</v>
      </c>
      <c r="D560" s="28">
        <f t="shared" ref="D560:V560" si="158">D561+D573+D575+D576</f>
        <v>899824</v>
      </c>
      <c r="E560" s="28">
        <f t="shared" si="158"/>
        <v>967030</v>
      </c>
      <c r="F560" s="28">
        <f t="shared" si="158"/>
        <v>894666</v>
      </c>
      <c r="G560" s="28">
        <f t="shared" si="158"/>
        <v>918577</v>
      </c>
      <c r="H560" s="28">
        <f t="shared" si="158"/>
        <v>521776</v>
      </c>
      <c r="I560" s="28">
        <f t="shared" si="158"/>
        <v>506693</v>
      </c>
      <c r="J560" s="28">
        <f t="shared" si="158"/>
        <v>554843</v>
      </c>
      <c r="K560" s="28">
        <f t="shared" si="158"/>
        <v>588710</v>
      </c>
      <c r="L560" s="28">
        <f t="shared" si="158"/>
        <v>666562</v>
      </c>
      <c r="M560" s="28">
        <f t="shared" si="158"/>
        <v>656165</v>
      </c>
      <c r="N560" s="28">
        <f t="shared" si="158"/>
        <v>667813</v>
      </c>
      <c r="O560" s="28">
        <f t="shared" si="158"/>
        <v>605219</v>
      </c>
      <c r="P560" s="28">
        <f t="shared" si="158"/>
        <v>610799</v>
      </c>
      <c r="Q560" s="28">
        <f t="shared" si="158"/>
        <v>623510</v>
      </c>
      <c r="R560" s="28">
        <f t="shared" si="158"/>
        <v>601249</v>
      </c>
      <c r="S560" s="28">
        <f t="shared" si="158"/>
        <v>632707</v>
      </c>
      <c r="T560" s="28">
        <f t="shared" si="158"/>
        <v>665511</v>
      </c>
      <c r="U560" s="28">
        <f t="shared" si="158"/>
        <v>714082</v>
      </c>
      <c r="V560" s="28">
        <f t="shared" si="158"/>
        <v>717004</v>
      </c>
    </row>
    <row r="561" spans="1:22" ht="51" x14ac:dyDescent="0.2">
      <c r="A561" s="28" t="s">
        <v>457</v>
      </c>
      <c r="B561" s="28" t="s">
        <v>560</v>
      </c>
      <c r="C561" s="28">
        <f t="shared" ref="C561:V561" si="159">SUM(C562:C572)</f>
        <v>650277</v>
      </c>
      <c r="D561" s="28">
        <f t="shared" si="159"/>
        <v>774439</v>
      </c>
      <c r="E561" s="28">
        <f t="shared" si="159"/>
        <v>835574</v>
      </c>
      <c r="F561" s="28">
        <f t="shared" si="159"/>
        <v>748222</v>
      </c>
      <c r="G561" s="28">
        <f t="shared" si="159"/>
        <v>765736</v>
      </c>
      <c r="H561" s="28">
        <f t="shared" si="159"/>
        <v>365553</v>
      </c>
      <c r="I561" s="28">
        <f t="shared" si="159"/>
        <v>351551</v>
      </c>
      <c r="J561" s="28">
        <f t="shared" si="159"/>
        <v>383437</v>
      </c>
      <c r="K561" s="28">
        <f t="shared" si="159"/>
        <v>383623</v>
      </c>
      <c r="L561" s="28">
        <f t="shared" si="159"/>
        <v>400991</v>
      </c>
      <c r="M561" s="28">
        <f t="shared" si="159"/>
        <v>386658</v>
      </c>
      <c r="N561" s="28">
        <f t="shared" si="159"/>
        <v>413899</v>
      </c>
      <c r="O561" s="28">
        <f t="shared" si="159"/>
        <v>431128</v>
      </c>
      <c r="P561" s="28">
        <f t="shared" si="159"/>
        <v>423861</v>
      </c>
      <c r="Q561" s="28">
        <f t="shared" si="159"/>
        <v>423769</v>
      </c>
      <c r="R561" s="28">
        <f t="shared" si="159"/>
        <v>413811</v>
      </c>
      <c r="S561" s="28">
        <f t="shared" si="159"/>
        <v>447267</v>
      </c>
      <c r="T561" s="28">
        <f t="shared" si="159"/>
        <v>475775</v>
      </c>
      <c r="U561" s="28">
        <f t="shared" si="159"/>
        <v>510121</v>
      </c>
      <c r="V561" s="28">
        <f t="shared" si="159"/>
        <v>485749</v>
      </c>
    </row>
    <row r="562" spans="1:22" ht="38.25" x14ac:dyDescent="0.2">
      <c r="A562" s="28" t="s">
        <v>457</v>
      </c>
      <c r="B562" s="28" t="s">
        <v>561</v>
      </c>
      <c r="C562" s="28">
        <f t="shared" ref="C562:V562" si="160">C220-C604</f>
        <v>72635</v>
      </c>
      <c r="D562" s="28">
        <f t="shared" si="160"/>
        <v>69284</v>
      </c>
      <c r="E562" s="28">
        <f t="shared" si="160"/>
        <v>70500</v>
      </c>
      <c r="F562" s="28">
        <f t="shared" si="160"/>
        <v>70917</v>
      </c>
      <c r="G562" s="28">
        <f t="shared" si="160"/>
        <v>74474</v>
      </c>
      <c r="H562" s="28">
        <f t="shared" si="160"/>
        <v>71104</v>
      </c>
      <c r="I562" s="28">
        <f t="shared" si="160"/>
        <v>79674</v>
      </c>
      <c r="J562" s="28">
        <f t="shared" si="160"/>
        <v>95140</v>
      </c>
      <c r="K562" s="28">
        <f t="shared" si="160"/>
        <v>104692</v>
      </c>
      <c r="L562" s="28">
        <f t="shared" si="160"/>
        <v>139401</v>
      </c>
      <c r="M562" s="28">
        <f t="shared" si="160"/>
        <v>139435</v>
      </c>
      <c r="N562" s="28">
        <f t="shared" si="160"/>
        <v>54293</v>
      </c>
      <c r="O562" s="28">
        <f t="shared" si="160"/>
        <v>31660</v>
      </c>
      <c r="P562" s="28">
        <f t="shared" si="160"/>
        <v>14051</v>
      </c>
      <c r="Q562" s="28">
        <f t="shared" si="160"/>
        <v>13784</v>
      </c>
      <c r="R562" s="28">
        <f t="shared" si="160"/>
        <v>13292</v>
      </c>
      <c r="S562" s="28">
        <f t="shared" si="160"/>
        <v>13852</v>
      </c>
      <c r="T562" s="28">
        <f t="shared" si="160"/>
        <v>14019</v>
      </c>
      <c r="U562" s="28">
        <f t="shared" si="160"/>
        <v>16547</v>
      </c>
      <c r="V562" s="28">
        <f t="shared" si="160"/>
        <v>12117</v>
      </c>
    </row>
    <row r="563" spans="1:22" ht="38.25" x14ac:dyDescent="0.2">
      <c r="A563" s="28" t="s">
        <v>457</v>
      </c>
      <c r="B563" s="28" t="s">
        <v>562</v>
      </c>
      <c r="C563" s="28">
        <f t="shared" ref="C563:V563" si="161">C221-C605</f>
        <v>0</v>
      </c>
      <c r="D563" s="28">
        <f t="shared" si="161"/>
        <v>0</v>
      </c>
      <c r="E563" s="28">
        <f t="shared" si="161"/>
        <v>0</v>
      </c>
      <c r="F563" s="28">
        <f t="shared" si="161"/>
        <v>0</v>
      </c>
      <c r="G563" s="28">
        <f t="shared" si="161"/>
        <v>0</v>
      </c>
      <c r="H563" s="28">
        <f t="shared" si="161"/>
        <v>0</v>
      </c>
      <c r="I563" s="28">
        <f t="shared" si="161"/>
        <v>0</v>
      </c>
      <c r="J563" s="28">
        <f t="shared" si="161"/>
        <v>0</v>
      </c>
      <c r="K563" s="28">
        <f t="shared" si="161"/>
        <v>0</v>
      </c>
      <c r="L563" s="28">
        <f t="shared" si="161"/>
        <v>0</v>
      </c>
      <c r="M563" s="28">
        <f t="shared" si="161"/>
        <v>0</v>
      </c>
      <c r="N563" s="28">
        <f t="shared" si="161"/>
        <v>113086</v>
      </c>
      <c r="O563" s="28">
        <f t="shared" si="161"/>
        <v>140710</v>
      </c>
      <c r="P563" s="28">
        <f t="shared" si="161"/>
        <v>147636</v>
      </c>
      <c r="Q563" s="28">
        <f t="shared" si="161"/>
        <v>142536</v>
      </c>
      <c r="R563" s="28">
        <f t="shared" si="161"/>
        <v>132861</v>
      </c>
      <c r="S563" s="28">
        <f t="shared" si="161"/>
        <v>163855</v>
      </c>
      <c r="T563" s="28">
        <f t="shared" si="161"/>
        <v>199023</v>
      </c>
      <c r="U563" s="28">
        <f t="shared" si="161"/>
        <v>236369</v>
      </c>
      <c r="V563" s="28">
        <f t="shared" si="161"/>
        <v>201286</v>
      </c>
    </row>
    <row r="564" spans="1:22" ht="38.25" x14ac:dyDescent="0.2">
      <c r="A564" s="28" t="s">
        <v>457</v>
      </c>
      <c r="B564" s="28" t="s">
        <v>563</v>
      </c>
      <c r="C564" s="28">
        <f t="shared" ref="C564:V564" si="162">C222-C606</f>
        <v>0</v>
      </c>
      <c r="D564" s="28">
        <f t="shared" si="162"/>
        <v>2925</v>
      </c>
      <c r="E564" s="28">
        <f t="shared" si="162"/>
        <v>2836</v>
      </c>
      <c r="F564" s="28">
        <f t="shared" si="162"/>
        <v>2853</v>
      </c>
      <c r="G564" s="28">
        <f t="shared" si="162"/>
        <v>2885</v>
      </c>
      <c r="H564" s="28">
        <f t="shared" si="162"/>
        <v>2872</v>
      </c>
      <c r="I564" s="28">
        <f t="shared" si="162"/>
        <v>3155</v>
      </c>
      <c r="J564" s="28">
        <f t="shared" si="162"/>
        <v>2996</v>
      </c>
      <c r="K564" s="28">
        <f t="shared" si="162"/>
        <v>3478</v>
      </c>
      <c r="L564" s="28">
        <f t="shared" si="162"/>
        <v>3526</v>
      </c>
      <c r="M564" s="28">
        <f t="shared" si="162"/>
        <v>2988</v>
      </c>
      <c r="N564" s="28">
        <f t="shared" si="162"/>
        <v>2784</v>
      </c>
      <c r="O564" s="28">
        <f t="shared" si="162"/>
        <v>2699</v>
      </c>
      <c r="P564" s="28">
        <f t="shared" si="162"/>
        <v>2843</v>
      </c>
      <c r="Q564" s="28">
        <f t="shared" si="162"/>
        <v>2727</v>
      </c>
      <c r="R564" s="28">
        <f t="shared" si="162"/>
        <v>2891</v>
      </c>
      <c r="S564" s="28">
        <f t="shared" si="162"/>
        <v>2721</v>
      </c>
      <c r="T564" s="28">
        <f t="shared" si="162"/>
        <v>2386</v>
      </c>
      <c r="U564" s="28">
        <f t="shared" si="162"/>
        <v>2734</v>
      </c>
      <c r="V564" s="28">
        <f t="shared" si="162"/>
        <v>3274</v>
      </c>
    </row>
    <row r="565" spans="1:22" ht="38.25" x14ac:dyDescent="0.2">
      <c r="A565" s="28" t="s">
        <v>457</v>
      </c>
      <c r="B565" s="28" t="s">
        <v>564</v>
      </c>
      <c r="C565" s="28">
        <f t="shared" ref="C565:V565" si="163">C223-C607</f>
        <v>18310</v>
      </c>
      <c r="D565" s="28">
        <f t="shared" si="163"/>
        <v>20340</v>
      </c>
      <c r="E565" s="28">
        <f t="shared" si="163"/>
        <v>21498</v>
      </c>
      <c r="F565" s="28">
        <f t="shared" si="163"/>
        <v>21800</v>
      </c>
      <c r="G565" s="28">
        <f t="shared" si="163"/>
        <v>22832</v>
      </c>
      <c r="H565" s="28">
        <f t="shared" si="163"/>
        <v>23389</v>
      </c>
      <c r="I565" s="28">
        <f t="shared" si="163"/>
        <v>23608</v>
      </c>
      <c r="J565" s="28">
        <f t="shared" si="163"/>
        <v>24788</v>
      </c>
      <c r="K565" s="28">
        <f t="shared" si="163"/>
        <v>24702</v>
      </c>
      <c r="L565" s="28">
        <f t="shared" si="163"/>
        <v>25657</v>
      </c>
      <c r="M565" s="28">
        <f t="shared" si="163"/>
        <v>26005</v>
      </c>
      <c r="N565" s="28">
        <f t="shared" si="163"/>
        <v>25900</v>
      </c>
      <c r="O565" s="28">
        <f t="shared" si="163"/>
        <v>26354</v>
      </c>
      <c r="P565" s="28">
        <f t="shared" si="163"/>
        <v>27011</v>
      </c>
      <c r="Q565" s="28">
        <f t="shared" si="163"/>
        <v>27151</v>
      </c>
      <c r="R565" s="28">
        <f t="shared" si="163"/>
        <v>28630</v>
      </c>
      <c r="S565" s="28">
        <f t="shared" si="163"/>
        <v>28583</v>
      </c>
      <c r="T565" s="28">
        <f t="shared" si="163"/>
        <v>28355</v>
      </c>
      <c r="U565" s="28">
        <f t="shared" si="163"/>
        <v>27321</v>
      </c>
      <c r="V565" s="28">
        <f t="shared" si="163"/>
        <v>30034</v>
      </c>
    </row>
    <row r="566" spans="1:22" ht="51" x14ac:dyDescent="0.2">
      <c r="A566" s="28" t="s">
        <v>457</v>
      </c>
      <c r="B566" s="28" t="s">
        <v>565</v>
      </c>
      <c r="C566" s="28">
        <f t="shared" ref="C566:V566" si="164">C224-C608</f>
        <v>22533</v>
      </c>
      <c r="D566" s="28">
        <f t="shared" si="164"/>
        <v>22101</v>
      </c>
      <c r="E566" s="28">
        <f t="shared" si="164"/>
        <v>22576</v>
      </c>
      <c r="F566" s="28">
        <f t="shared" si="164"/>
        <v>22744</v>
      </c>
      <c r="G566" s="28">
        <f t="shared" si="164"/>
        <v>23572</v>
      </c>
      <c r="H566" s="28">
        <f t="shared" si="164"/>
        <v>26534</v>
      </c>
      <c r="I566" s="28">
        <f t="shared" si="164"/>
        <v>30880</v>
      </c>
      <c r="J566" s="28">
        <f t="shared" si="164"/>
        <v>34323</v>
      </c>
      <c r="K566" s="28">
        <f t="shared" si="164"/>
        <v>14110</v>
      </c>
      <c r="L566" s="28">
        <f t="shared" si="164"/>
        <v>5066</v>
      </c>
      <c r="M566" s="28">
        <f t="shared" si="164"/>
        <v>6268</v>
      </c>
      <c r="N566" s="28">
        <f t="shared" si="164"/>
        <v>8629</v>
      </c>
      <c r="O566" s="28">
        <f t="shared" si="164"/>
        <v>7690</v>
      </c>
      <c r="P566" s="28">
        <f t="shared" si="164"/>
        <v>9700</v>
      </c>
      <c r="Q566" s="28">
        <f t="shared" si="164"/>
        <v>13448</v>
      </c>
      <c r="R566" s="28">
        <f t="shared" si="164"/>
        <v>12158</v>
      </c>
      <c r="S566" s="28">
        <f t="shared" si="164"/>
        <v>14118</v>
      </c>
      <c r="T566" s="28">
        <f t="shared" si="164"/>
        <v>13733</v>
      </c>
      <c r="U566" s="28">
        <f t="shared" si="164"/>
        <v>12876</v>
      </c>
      <c r="V566" s="28">
        <f t="shared" si="164"/>
        <v>9629</v>
      </c>
    </row>
    <row r="567" spans="1:22" ht="38.25" x14ac:dyDescent="0.2">
      <c r="A567" s="28" t="s">
        <v>457</v>
      </c>
      <c r="B567" s="28" t="s">
        <v>566</v>
      </c>
      <c r="C567" s="28">
        <f t="shared" ref="C567:V567" si="165">C225-C609</f>
        <v>22897</v>
      </c>
      <c r="D567" s="28">
        <f t="shared" si="165"/>
        <v>20178</v>
      </c>
      <c r="E567" s="28">
        <f t="shared" si="165"/>
        <v>19050</v>
      </c>
      <c r="F567" s="28">
        <f t="shared" si="165"/>
        <v>19546</v>
      </c>
      <c r="G567" s="28">
        <f t="shared" si="165"/>
        <v>19435</v>
      </c>
      <c r="H567" s="28">
        <f t="shared" si="165"/>
        <v>18729</v>
      </c>
      <c r="I567" s="28">
        <f t="shared" si="165"/>
        <v>19762</v>
      </c>
      <c r="J567" s="28">
        <f t="shared" si="165"/>
        <v>19932</v>
      </c>
      <c r="K567" s="28">
        <f t="shared" si="165"/>
        <v>21165</v>
      </c>
      <c r="L567" s="28">
        <f t="shared" si="165"/>
        <v>25410</v>
      </c>
      <c r="M567" s="28">
        <f t="shared" si="165"/>
        <v>25755</v>
      </c>
      <c r="N567" s="28">
        <f t="shared" si="165"/>
        <v>28806</v>
      </c>
      <c r="O567" s="28">
        <f t="shared" si="165"/>
        <v>27210</v>
      </c>
      <c r="P567" s="28">
        <f t="shared" si="165"/>
        <v>28660</v>
      </c>
      <c r="Q567" s="28">
        <f t="shared" si="165"/>
        <v>29100</v>
      </c>
      <c r="R567" s="28">
        <f t="shared" si="165"/>
        <v>30350</v>
      </c>
      <c r="S567" s="28">
        <f t="shared" si="165"/>
        <v>29396</v>
      </c>
      <c r="T567" s="28">
        <f t="shared" si="165"/>
        <v>29798</v>
      </c>
      <c r="U567" s="28">
        <f t="shared" si="165"/>
        <v>30864</v>
      </c>
      <c r="V567" s="28">
        <f t="shared" si="165"/>
        <v>30088</v>
      </c>
    </row>
    <row r="568" spans="1:22" ht="38.25" x14ac:dyDescent="0.2">
      <c r="A568" s="28" t="s">
        <v>457</v>
      </c>
      <c r="B568" s="28" t="s">
        <v>567</v>
      </c>
      <c r="C568" s="28">
        <f t="shared" ref="C568:V568" si="166">C226-C610</f>
        <v>50808</v>
      </c>
      <c r="D568" s="28">
        <f t="shared" si="166"/>
        <v>48630</v>
      </c>
      <c r="E568" s="28">
        <f t="shared" si="166"/>
        <v>45809</v>
      </c>
      <c r="F568" s="28">
        <f t="shared" si="166"/>
        <v>44472</v>
      </c>
      <c r="G568" s="28">
        <f t="shared" si="166"/>
        <v>48081</v>
      </c>
      <c r="H568" s="28">
        <f t="shared" si="166"/>
        <v>46594</v>
      </c>
      <c r="I568" s="28">
        <f t="shared" si="166"/>
        <v>44799</v>
      </c>
      <c r="J568" s="28">
        <f t="shared" si="166"/>
        <v>45013</v>
      </c>
      <c r="K568" s="28">
        <f t="shared" si="166"/>
        <v>49784</v>
      </c>
      <c r="L568" s="28">
        <f t="shared" si="166"/>
        <v>48917</v>
      </c>
      <c r="M568" s="28">
        <f t="shared" si="166"/>
        <v>47371</v>
      </c>
      <c r="N568" s="28">
        <f t="shared" si="166"/>
        <v>45667</v>
      </c>
      <c r="O568" s="28">
        <f t="shared" si="166"/>
        <v>46344</v>
      </c>
      <c r="P568" s="28">
        <f t="shared" si="166"/>
        <v>42356</v>
      </c>
      <c r="Q568" s="28">
        <f t="shared" si="166"/>
        <v>40103</v>
      </c>
      <c r="R568" s="28">
        <f t="shared" si="166"/>
        <v>39018</v>
      </c>
      <c r="S568" s="28">
        <f t="shared" si="166"/>
        <v>37143</v>
      </c>
      <c r="T568" s="28">
        <f t="shared" si="166"/>
        <v>33842</v>
      </c>
      <c r="U568" s="28">
        <f t="shared" si="166"/>
        <v>33882</v>
      </c>
      <c r="V568" s="28">
        <f t="shared" si="166"/>
        <v>38506</v>
      </c>
    </row>
    <row r="569" spans="1:22" ht="38.25" x14ac:dyDescent="0.2">
      <c r="A569" s="28" t="s">
        <v>457</v>
      </c>
      <c r="B569" s="28" t="s">
        <v>568</v>
      </c>
      <c r="C569" s="28">
        <f t="shared" ref="C569:V569" si="167">C227-C611</f>
        <v>414315</v>
      </c>
      <c r="D569" s="28">
        <f t="shared" si="167"/>
        <v>529644</v>
      </c>
      <c r="E569" s="28">
        <f t="shared" si="167"/>
        <v>587307</v>
      </c>
      <c r="F569" s="28">
        <f t="shared" si="167"/>
        <v>498397</v>
      </c>
      <c r="G569" s="28">
        <f t="shared" si="167"/>
        <v>505846</v>
      </c>
      <c r="H569" s="28">
        <f t="shared" si="167"/>
        <v>108490</v>
      </c>
      <c r="I569" s="28">
        <f t="shared" si="167"/>
        <v>83309</v>
      </c>
      <c r="J569" s="28">
        <f t="shared" si="167"/>
        <v>94094</v>
      </c>
      <c r="K569" s="28">
        <f t="shared" si="167"/>
        <v>97131</v>
      </c>
      <c r="L569" s="28">
        <f t="shared" si="167"/>
        <v>79267</v>
      </c>
      <c r="M569" s="28">
        <f t="shared" si="167"/>
        <v>64111</v>
      </c>
      <c r="N569" s="28">
        <f t="shared" si="167"/>
        <v>51394</v>
      </c>
      <c r="O569" s="28">
        <f t="shared" si="167"/>
        <v>55865</v>
      </c>
      <c r="P569" s="28">
        <f t="shared" si="167"/>
        <v>58569</v>
      </c>
      <c r="Q569" s="28">
        <f t="shared" si="167"/>
        <v>62713</v>
      </c>
      <c r="R569" s="28">
        <f t="shared" si="167"/>
        <v>72862</v>
      </c>
      <c r="S569" s="28">
        <f t="shared" si="167"/>
        <v>76735</v>
      </c>
      <c r="T569" s="28">
        <f t="shared" si="167"/>
        <v>76547</v>
      </c>
      <c r="U569" s="28">
        <f t="shared" si="167"/>
        <v>70288</v>
      </c>
      <c r="V569" s="28">
        <f t="shared" si="167"/>
        <v>75301</v>
      </c>
    </row>
    <row r="570" spans="1:22" ht="51" x14ac:dyDescent="0.2">
      <c r="A570" s="28" t="s">
        <v>457</v>
      </c>
      <c r="B570" s="28" t="s">
        <v>569</v>
      </c>
      <c r="C570" s="28">
        <f t="shared" ref="C570:V570" si="168">C228-C612</f>
        <v>15791</v>
      </c>
      <c r="D570" s="28">
        <f t="shared" si="168"/>
        <v>18277</v>
      </c>
      <c r="E570" s="28">
        <f t="shared" si="168"/>
        <v>19519</v>
      </c>
      <c r="F570" s="28">
        <f t="shared" si="168"/>
        <v>20077</v>
      </c>
      <c r="G570" s="28">
        <f t="shared" si="168"/>
        <v>20983</v>
      </c>
      <c r="H570" s="28">
        <f t="shared" si="168"/>
        <v>20885</v>
      </c>
      <c r="I570" s="28">
        <f t="shared" si="168"/>
        <v>20849</v>
      </c>
      <c r="J570" s="28">
        <f t="shared" si="168"/>
        <v>20863</v>
      </c>
      <c r="K570" s="28">
        <f t="shared" si="168"/>
        <v>22358</v>
      </c>
      <c r="L570" s="28">
        <f t="shared" si="168"/>
        <v>25476</v>
      </c>
      <c r="M570" s="28">
        <f t="shared" si="168"/>
        <v>25218</v>
      </c>
      <c r="N570" s="28">
        <f t="shared" si="168"/>
        <v>26978</v>
      </c>
      <c r="O570" s="28">
        <f t="shared" si="168"/>
        <v>30489</v>
      </c>
      <c r="P570" s="28">
        <f t="shared" si="168"/>
        <v>33559</v>
      </c>
      <c r="Q570" s="28">
        <f t="shared" si="168"/>
        <v>33528</v>
      </c>
      <c r="R570" s="28">
        <f t="shared" si="168"/>
        <v>35548</v>
      </c>
      <c r="S570" s="28">
        <f t="shared" si="168"/>
        <v>34659</v>
      </c>
      <c r="T570" s="28">
        <f t="shared" si="168"/>
        <v>33809</v>
      </c>
      <c r="U570" s="28">
        <f t="shared" si="168"/>
        <v>32331</v>
      </c>
      <c r="V570" s="28">
        <f t="shared" si="168"/>
        <v>36441</v>
      </c>
    </row>
    <row r="571" spans="1:22" ht="51" x14ac:dyDescent="0.2">
      <c r="A571" s="28" t="s">
        <v>457</v>
      </c>
      <c r="B571" s="28" t="s">
        <v>570</v>
      </c>
      <c r="C571" s="28">
        <f t="shared" ref="C571:V571" si="169">C229-C613+C335</f>
        <v>32058</v>
      </c>
      <c r="D571" s="28">
        <f t="shared" si="169"/>
        <v>41270</v>
      </c>
      <c r="E571" s="28">
        <f t="shared" si="169"/>
        <v>44786</v>
      </c>
      <c r="F571" s="28">
        <f t="shared" si="169"/>
        <v>45860</v>
      </c>
      <c r="G571" s="28">
        <f t="shared" si="169"/>
        <v>46354</v>
      </c>
      <c r="H571" s="28">
        <f t="shared" si="169"/>
        <v>45786</v>
      </c>
      <c r="I571" s="28">
        <f t="shared" si="169"/>
        <v>44349</v>
      </c>
      <c r="J571" s="28">
        <f t="shared" si="169"/>
        <v>44596</v>
      </c>
      <c r="K571" s="28">
        <f t="shared" si="169"/>
        <v>44874</v>
      </c>
      <c r="L571" s="28">
        <f t="shared" si="169"/>
        <v>46794</v>
      </c>
      <c r="M571" s="28">
        <f t="shared" si="169"/>
        <v>48702</v>
      </c>
      <c r="N571" s="28">
        <f t="shared" si="169"/>
        <v>55657</v>
      </c>
      <c r="O571" s="28">
        <f t="shared" si="169"/>
        <v>61091</v>
      </c>
      <c r="P571" s="28">
        <f t="shared" si="169"/>
        <v>58574</v>
      </c>
      <c r="Q571" s="28">
        <f t="shared" si="169"/>
        <v>57692</v>
      </c>
      <c r="R571" s="28">
        <f t="shared" si="169"/>
        <v>45307</v>
      </c>
      <c r="S571" s="28">
        <f t="shared" si="169"/>
        <v>45066</v>
      </c>
      <c r="T571" s="28">
        <f t="shared" si="169"/>
        <v>43185</v>
      </c>
      <c r="U571" s="28">
        <f t="shared" si="169"/>
        <v>45725</v>
      </c>
      <c r="V571" s="28">
        <f t="shared" si="169"/>
        <v>47590</v>
      </c>
    </row>
    <row r="572" spans="1:22" ht="38.25" x14ac:dyDescent="0.2">
      <c r="A572" s="28" t="s">
        <v>457</v>
      </c>
      <c r="B572" s="28" t="s">
        <v>571</v>
      </c>
      <c r="C572" s="28">
        <f t="shared" ref="C572:V572" si="170">C230-C614</f>
        <v>930</v>
      </c>
      <c r="D572" s="28">
        <f t="shared" si="170"/>
        <v>1790</v>
      </c>
      <c r="E572" s="28">
        <f t="shared" si="170"/>
        <v>1693</v>
      </c>
      <c r="F572" s="28">
        <f t="shared" si="170"/>
        <v>1556</v>
      </c>
      <c r="G572" s="28">
        <f t="shared" si="170"/>
        <v>1274</v>
      </c>
      <c r="H572" s="28">
        <f t="shared" si="170"/>
        <v>1170</v>
      </c>
      <c r="I572" s="28">
        <f t="shared" si="170"/>
        <v>1166</v>
      </c>
      <c r="J572" s="28">
        <f t="shared" si="170"/>
        <v>1692</v>
      </c>
      <c r="K572" s="28">
        <f t="shared" si="170"/>
        <v>1329</v>
      </c>
      <c r="L572" s="28">
        <f t="shared" si="170"/>
        <v>1477</v>
      </c>
      <c r="M572" s="28">
        <f t="shared" si="170"/>
        <v>805</v>
      </c>
      <c r="N572" s="28">
        <f t="shared" si="170"/>
        <v>705</v>
      </c>
      <c r="O572" s="28">
        <f t="shared" si="170"/>
        <v>1016</v>
      </c>
      <c r="P572" s="28">
        <f t="shared" si="170"/>
        <v>902</v>
      </c>
      <c r="Q572" s="28">
        <f t="shared" si="170"/>
        <v>987</v>
      </c>
      <c r="R572" s="28">
        <f t="shared" si="170"/>
        <v>894</v>
      </c>
      <c r="S572" s="28">
        <f t="shared" si="170"/>
        <v>1139</v>
      </c>
      <c r="T572" s="28">
        <f t="shared" si="170"/>
        <v>1078</v>
      </c>
      <c r="U572" s="28">
        <f t="shared" si="170"/>
        <v>1184</v>
      </c>
      <c r="V572" s="28">
        <f t="shared" si="170"/>
        <v>1483</v>
      </c>
    </row>
    <row r="573" spans="1:22" ht="51" x14ac:dyDescent="0.2">
      <c r="A573" s="28" t="s">
        <v>457</v>
      </c>
      <c r="B573" s="28" t="s">
        <v>572</v>
      </c>
      <c r="C573" s="28">
        <f t="shared" ref="C573:V573" si="171">C1140</f>
        <v>94525</v>
      </c>
      <c r="D573" s="28">
        <f t="shared" si="171"/>
        <v>101582</v>
      </c>
      <c r="E573" s="28">
        <f t="shared" si="171"/>
        <v>106384</v>
      </c>
      <c r="F573" s="28">
        <f t="shared" si="171"/>
        <v>121622</v>
      </c>
      <c r="G573" s="28">
        <f t="shared" si="171"/>
        <v>128584</v>
      </c>
      <c r="H573" s="28">
        <f t="shared" si="171"/>
        <v>130358</v>
      </c>
      <c r="I573" s="28">
        <f t="shared" si="171"/>
        <v>129887</v>
      </c>
      <c r="J573" s="28">
        <f t="shared" si="171"/>
        <v>145041</v>
      </c>
      <c r="K573" s="28">
        <f t="shared" si="171"/>
        <v>175650</v>
      </c>
      <c r="L573" s="28">
        <f t="shared" si="171"/>
        <v>231628</v>
      </c>
      <c r="M573" s="28">
        <f t="shared" si="171"/>
        <v>235617</v>
      </c>
      <c r="N573" s="28">
        <f t="shared" si="171"/>
        <v>221113</v>
      </c>
      <c r="O573" s="28">
        <f t="shared" si="171"/>
        <v>146624</v>
      </c>
      <c r="P573" s="28">
        <f t="shared" si="171"/>
        <v>161459</v>
      </c>
      <c r="Q573" s="28">
        <f t="shared" si="171"/>
        <v>170997</v>
      </c>
      <c r="R573" s="28">
        <f t="shared" si="171"/>
        <v>160172</v>
      </c>
      <c r="S573" s="28">
        <f t="shared" si="171"/>
        <v>158771</v>
      </c>
      <c r="T573" s="28">
        <f t="shared" si="171"/>
        <v>161771</v>
      </c>
      <c r="U573" s="28">
        <f t="shared" si="171"/>
        <v>175197</v>
      </c>
      <c r="V573" s="28">
        <f t="shared" si="171"/>
        <v>198436</v>
      </c>
    </row>
    <row r="574" spans="1:22" ht="51" x14ac:dyDescent="0.2">
      <c r="A574" s="28" t="s">
        <v>457</v>
      </c>
      <c r="B574" s="28" t="s">
        <v>573</v>
      </c>
      <c r="C574" s="28">
        <f t="shared" ref="C574:N574" si="172">C1140</f>
        <v>94525</v>
      </c>
      <c r="D574" s="28">
        <f t="shared" si="172"/>
        <v>101582</v>
      </c>
      <c r="E574" s="28">
        <f t="shared" si="172"/>
        <v>106384</v>
      </c>
      <c r="F574" s="28">
        <f t="shared" si="172"/>
        <v>121622</v>
      </c>
      <c r="G574" s="28">
        <f t="shared" si="172"/>
        <v>128584</v>
      </c>
      <c r="H574" s="28">
        <f t="shared" si="172"/>
        <v>130358</v>
      </c>
      <c r="I574" s="28">
        <f t="shared" si="172"/>
        <v>129887</v>
      </c>
      <c r="J574" s="28">
        <f t="shared" si="172"/>
        <v>145041</v>
      </c>
      <c r="K574" s="28">
        <f t="shared" si="172"/>
        <v>175650</v>
      </c>
      <c r="L574" s="28">
        <f t="shared" si="172"/>
        <v>231628</v>
      </c>
      <c r="M574" s="28">
        <f t="shared" si="172"/>
        <v>235617</v>
      </c>
      <c r="N574" s="28">
        <f t="shared" si="172"/>
        <v>221113</v>
      </c>
      <c r="O574" s="28">
        <f t="shared" ref="O574:V574" si="173">O1622</f>
        <v>200423</v>
      </c>
      <c r="P574" s="28">
        <f t="shared" si="173"/>
        <v>199200</v>
      </c>
      <c r="Q574" s="28">
        <f t="shared" si="173"/>
        <v>205112</v>
      </c>
      <c r="R574" s="28">
        <f t="shared" si="173"/>
        <v>199829</v>
      </c>
      <c r="S574" s="28">
        <f t="shared" si="173"/>
        <v>201584</v>
      </c>
      <c r="T574" s="28">
        <f t="shared" si="173"/>
        <v>210681</v>
      </c>
      <c r="U574" s="28">
        <f t="shared" si="173"/>
        <v>219444</v>
      </c>
      <c r="V574" s="28">
        <f t="shared" si="173"/>
        <v>233412</v>
      </c>
    </row>
    <row r="575" spans="1:22" ht="51" x14ac:dyDescent="0.2">
      <c r="A575" s="28" t="s">
        <v>457</v>
      </c>
      <c r="B575" s="28" t="s">
        <v>574</v>
      </c>
      <c r="C575" s="28">
        <f t="shared" ref="C575:V575" si="174">C237-C621</f>
        <v>10344</v>
      </c>
      <c r="D575" s="28">
        <f t="shared" si="174"/>
        <v>11051</v>
      </c>
      <c r="E575" s="28">
        <f t="shared" si="174"/>
        <v>11641</v>
      </c>
      <c r="F575" s="28">
        <f t="shared" si="174"/>
        <v>11520</v>
      </c>
      <c r="G575" s="28">
        <f t="shared" si="174"/>
        <v>10837</v>
      </c>
      <c r="H575" s="28">
        <f t="shared" si="174"/>
        <v>9291</v>
      </c>
      <c r="I575" s="28">
        <f t="shared" si="174"/>
        <v>9297</v>
      </c>
      <c r="J575" s="28">
        <f t="shared" si="174"/>
        <v>9413</v>
      </c>
      <c r="K575" s="28">
        <f t="shared" si="174"/>
        <v>11465</v>
      </c>
      <c r="L575" s="28">
        <f t="shared" si="174"/>
        <v>15091</v>
      </c>
      <c r="M575" s="28">
        <f t="shared" si="174"/>
        <v>16201</v>
      </c>
      <c r="N575" s="28">
        <f t="shared" si="174"/>
        <v>16508</v>
      </c>
      <c r="O575" s="28">
        <f t="shared" si="174"/>
        <v>10465</v>
      </c>
      <c r="P575" s="28">
        <f t="shared" si="174"/>
        <v>10220</v>
      </c>
      <c r="Q575" s="28">
        <f t="shared" si="174"/>
        <v>9268</v>
      </c>
      <c r="R575" s="28">
        <f t="shared" si="174"/>
        <v>8697</v>
      </c>
      <c r="S575" s="28">
        <f t="shared" si="174"/>
        <v>8702</v>
      </c>
      <c r="T575" s="28">
        <f t="shared" si="174"/>
        <v>7937</v>
      </c>
      <c r="U575" s="28">
        <f t="shared" si="174"/>
        <v>8242</v>
      </c>
      <c r="V575" s="28">
        <f t="shared" si="174"/>
        <v>8719</v>
      </c>
    </row>
    <row r="576" spans="1:22" ht="51" x14ac:dyDescent="0.2">
      <c r="A576" s="28" t="s">
        <v>457</v>
      </c>
      <c r="B576" s="28" t="s">
        <v>575</v>
      </c>
      <c r="C576" s="28">
        <f t="shared" ref="C576:V576" si="175">C239</f>
        <v>10808</v>
      </c>
      <c r="D576" s="28">
        <f t="shared" si="175"/>
        <v>12752</v>
      </c>
      <c r="E576" s="28">
        <f t="shared" si="175"/>
        <v>13431</v>
      </c>
      <c r="F576" s="28">
        <f t="shared" si="175"/>
        <v>13302</v>
      </c>
      <c r="G576" s="28">
        <f t="shared" si="175"/>
        <v>13420</v>
      </c>
      <c r="H576" s="28">
        <f t="shared" si="175"/>
        <v>16574</v>
      </c>
      <c r="I576" s="28">
        <f t="shared" si="175"/>
        <v>15958</v>
      </c>
      <c r="J576" s="28">
        <f t="shared" si="175"/>
        <v>16952</v>
      </c>
      <c r="K576" s="28">
        <f t="shared" si="175"/>
        <v>17972</v>
      </c>
      <c r="L576" s="28">
        <f t="shared" si="175"/>
        <v>18852</v>
      </c>
      <c r="M576" s="28">
        <f t="shared" si="175"/>
        <v>17689</v>
      </c>
      <c r="N576" s="28">
        <f t="shared" si="175"/>
        <v>16293</v>
      </c>
      <c r="O576" s="28">
        <f t="shared" si="175"/>
        <v>17002</v>
      </c>
      <c r="P576" s="28">
        <f t="shared" si="175"/>
        <v>15259</v>
      </c>
      <c r="Q576" s="28">
        <f t="shared" si="175"/>
        <v>19476</v>
      </c>
      <c r="R576" s="28">
        <f t="shared" si="175"/>
        <v>18569</v>
      </c>
      <c r="S576" s="28">
        <f t="shared" si="175"/>
        <v>17967</v>
      </c>
      <c r="T576" s="28">
        <f t="shared" si="175"/>
        <v>20028</v>
      </c>
      <c r="U576" s="28">
        <f t="shared" si="175"/>
        <v>20522</v>
      </c>
      <c r="V576" s="28">
        <f t="shared" si="175"/>
        <v>24100</v>
      </c>
    </row>
    <row r="577" spans="1:22" ht="76.5" x14ac:dyDescent="0.2">
      <c r="A577" s="28" t="s">
        <v>457</v>
      </c>
      <c r="B577" s="28" t="s">
        <v>576</v>
      </c>
      <c r="C577" s="28">
        <f t="shared" ref="C577:V577" si="176">C578+C599+C600+C389+C390+C391+C392+C393</f>
        <v>822496</v>
      </c>
      <c r="D577" s="28">
        <f t="shared" si="176"/>
        <v>922740</v>
      </c>
      <c r="E577" s="28">
        <f t="shared" si="176"/>
        <v>1054932</v>
      </c>
      <c r="F577" s="28">
        <f t="shared" si="176"/>
        <v>1005986</v>
      </c>
      <c r="G577" s="28">
        <f t="shared" si="176"/>
        <v>1074002</v>
      </c>
      <c r="H577" s="28">
        <f t="shared" si="176"/>
        <v>672681</v>
      </c>
      <c r="I577" s="28">
        <f t="shared" si="176"/>
        <v>641298</v>
      </c>
      <c r="J577" s="28">
        <f t="shared" si="176"/>
        <v>683750</v>
      </c>
      <c r="K577" s="28">
        <f t="shared" si="176"/>
        <v>697243</v>
      </c>
      <c r="L577" s="28">
        <f t="shared" si="176"/>
        <v>762904</v>
      </c>
      <c r="M577" s="28">
        <f t="shared" si="176"/>
        <v>748704</v>
      </c>
      <c r="N577" s="28">
        <f t="shared" si="176"/>
        <v>811968</v>
      </c>
      <c r="O577" s="28">
        <f t="shared" si="176"/>
        <v>706860</v>
      </c>
      <c r="P577" s="28">
        <f t="shared" si="176"/>
        <v>746112</v>
      </c>
      <c r="Q577" s="28">
        <f t="shared" si="176"/>
        <v>791480</v>
      </c>
      <c r="R577" s="28">
        <f t="shared" si="176"/>
        <v>817349</v>
      </c>
      <c r="S577" s="28">
        <f t="shared" si="176"/>
        <v>835537</v>
      </c>
      <c r="T577" s="28">
        <f t="shared" si="176"/>
        <v>795037</v>
      </c>
      <c r="U577" s="28">
        <f t="shared" si="176"/>
        <v>806129</v>
      </c>
      <c r="V577" s="28">
        <f t="shared" si="176"/>
        <v>890887</v>
      </c>
    </row>
    <row r="578" spans="1:22" ht="38.25" x14ac:dyDescent="0.2">
      <c r="A578" s="28" t="s">
        <v>457</v>
      </c>
      <c r="B578" s="28" t="s">
        <v>577</v>
      </c>
      <c r="C578" s="28">
        <f t="shared" ref="C578:V578" si="177">C580+C592+C596+C368</f>
        <v>739960</v>
      </c>
      <c r="D578" s="28">
        <f t="shared" si="177"/>
        <v>823051</v>
      </c>
      <c r="E578" s="28">
        <f t="shared" si="177"/>
        <v>912869</v>
      </c>
      <c r="F578" s="28">
        <f t="shared" si="177"/>
        <v>862510</v>
      </c>
      <c r="G578" s="28">
        <f t="shared" si="177"/>
        <v>910951</v>
      </c>
      <c r="H578" s="28">
        <f t="shared" si="177"/>
        <v>514614</v>
      </c>
      <c r="I578" s="28">
        <f t="shared" si="177"/>
        <v>480474</v>
      </c>
      <c r="J578" s="28">
        <f t="shared" si="177"/>
        <v>507634</v>
      </c>
      <c r="K578" s="28">
        <f t="shared" si="177"/>
        <v>529656</v>
      </c>
      <c r="L578" s="28">
        <f t="shared" si="177"/>
        <v>579769</v>
      </c>
      <c r="M578" s="28">
        <f t="shared" si="177"/>
        <v>576723</v>
      </c>
      <c r="N578" s="28">
        <f t="shared" si="177"/>
        <v>617378</v>
      </c>
      <c r="O578" s="28">
        <f t="shared" si="177"/>
        <v>506383</v>
      </c>
      <c r="P578" s="28">
        <f t="shared" si="177"/>
        <v>527516</v>
      </c>
      <c r="Q578" s="28">
        <f t="shared" si="177"/>
        <v>576392</v>
      </c>
      <c r="R578" s="28">
        <f t="shared" si="177"/>
        <v>557951</v>
      </c>
      <c r="S578" s="28">
        <f t="shared" si="177"/>
        <v>570656</v>
      </c>
      <c r="T578" s="28">
        <f t="shared" si="177"/>
        <v>535481</v>
      </c>
      <c r="U578" s="28">
        <f t="shared" si="177"/>
        <v>530522</v>
      </c>
      <c r="V578" s="28">
        <f t="shared" si="177"/>
        <v>618514</v>
      </c>
    </row>
    <row r="579" spans="1:22" ht="51" x14ac:dyDescent="0.2">
      <c r="A579" s="28" t="s">
        <v>457</v>
      </c>
      <c r="B579" s="28" t="s">
        <v>578</v>
      </c>
      <c r="C579" s="28">
        <f t="shared" ref="C579:T579" si="178">C578-C595-C598</f>
        <v>699805</v>
      </c>
      <c r="D579" s="28">
        <f t="shared" si="178"/>
        <v>779763</v>
      </c>
      <c r="E579" s="28">
        <f t="shared" si="178"/>
        <v>870164</v>
      </c>
      <c r="F579" s="28">
        <f t="shared" si="178"/>
        <v>818300</v>
      </c>
      <c r="G579" s="28">
        <f t="shared" si="178"/>
        <v>860696</v>
      </c>
      <c r="H579" s="28">
        <f t="shared" si="178"/>
        <v>465084</v>
      </c>
      <c r="I579" s="28">
        <f t="shared" si="178"/>
        <v>435463</v>
      </c>
      <c r="J579" s="28">
        <f t="shared" si="178"/>
        <v>465863</v>
      </c>
      <c r="K579" s="28">
        <f t="shared" si="178"/>
        <v>490397</v>
      </c>
      <c r="L579" s="28">
        <f t="shared" si="178"/>
        <v>528603</v>
      </c>
      <c r="M579" s="28">
        <f t="shared" si="178"/>
        <v>521274</v>
      </c>
      <c r="N579" s="28">
        <f t="shared" si="178"/>
        <v>565996</v>
      </c>
      <c r="O579" s="28">
        <f t="shared" si="178"/>
        <v>469664</v>
      </c>
      <c r="P579" s="28">
        <f t="shared" si="178"/>
        <v>481332</v>
      </c>
      <c r="Q579" s="28">
        <f t="shared" si="178"/>
        <v>509407</v>
      </c>
      <c r="R579" s="28">
        <f t="shared" si="178"/>
        <v>500976</v>
      </c>
      <c r="S579" s="28">
        <f t="shared" si="178"/>
        <v>519911</v>
      </c>
      <c r="T579" s="28">
        <f t="shared" si="178"/>
        <v>482650</v>
      </c>
      <c r="U579" s="28">
        <f>U578-U595-U598</f>
        <v>471729</v>
      </c>
      <c r="V579" s="28">
        <f>V578-V595-V598</f>
        <v>546411</v>
      </c>
    </row>
    <row r="580" spans="1:22" ht="63.75" x14ac:dyDescent="0.2">
      <c r="A580" s="28" t="s">
        <v>457</v>
      </c>
      <c r="B580" s="28" t="s">
        <v>579</v>
      </c>
      <c r="C580" s="28">
        <f t="shared" ref="C580:V580" si="179">SUM(C581:C591)</f>
        <v>619829</v>
      </c>
      <c r="D580" s="28">
        <f t="shared" si="179"/>
        <v>693515</v>
      </c>
      <c r="E580" s="28">
        <f t="shared" si="179"/>
        <v>778680</v>
      </c>
      <c r="F580" s="28">
        <f t="shared" si="179"/>
        <v>714888</v>
      </c>
      <c r="G580" s="28">
        <f t="shared" si="179"/>
        <v>735805</v>
      </c>
      <c r="H580" s="28">
        <f t="shared" si="179"/>
        <v>331995</v>
      </c>
      <c r="I580" s="28">
        <f t="shared" si="179"/>
        <v>295009</v>
      </c>
      <c r="J580" s="28">
        <f t="shared" si="179"/>
        <v>315895</v>
      </c>
      <c r="K580" s="28">
        <f t="shared" si="179"/>
        <v>319722</v>
      </c>
      <c r="L580" s="28">
        <f t="shared" si="179"/>
        <v>316694</v>
      </c>
      <c r="M580" s="28">
        <f t="shared" si="179"/>
        <v>307755</v>
      </c>
      <c r="N580" s="28">
        <f t="shared" si="179"/>
        <v>327028</v>
      </c>
      <c r="O580" s="28">
        <f t="shared" si="179"/>
        <v>302829</v>
      </c>
      <c r="P580" s="28">
        <f t="shared" si="179"/>
        <v>324778</v>
      </c>
      <c r="Q580" s="28">
        <f t="shared" si="179"/>
        <v>358405</v>
      </c>
      <c r="R580" s="28">
        <f t="shared" si="179"/>
        <v>356285</v>
      </c>
      <c r="S580" s="28">
        <f t="shared" si="179"/>
        <v>377988</v>
      </c>
      <c r="T580" s="28">
        <f t="shared" si="179"/>
        <v>351715</v>
      </c>
      <c r="U580" s="28">
        <f t="shared" si="179"/>
        <v>336823</v>
      </c>
      <c r="V580" s="28">
        <f t="shared" si="179"/>
        <v>382898</v>
      </c>
    </row>
    <row r="581" spans="1:22" ht="38.25" x14ac:dyDescent="0.2">
      <c r="A581" s="28" t="s">
        <v>457</v>
      </c>
      <c r="B581" s="28" t="s">
        <v>580</v>
      </c>
      <c r="C581" s="28">
        <f t="shared" ref="C581:V581" si="180">C349-C604</f>
        <v>38117</v>
      </c>
      <c r="D581" s="28">
        <f t="shared" si="180"/>
        <v>38155</v>
      </c>
      <c r="E581" s="28">
        <f t="shared" si="180"/>
        <v>38795</v>
      </c>
      <c r="F581" s="28">
        <f t="shared" si="180"/>
        <v>42444</v>
      </c>
      <c r="G581" s="28">
        <f t="shared" si="180"/>
        <v>48048</v>
      </c>
      <c r="H581" s="28">
        <f t="shared" si="180"/>
        <v>43665</v>
      </c>
      <c r="I581" s="28">
        <f t="shared" si="180"/>
        <v>45556</v>
      </c>
      <c r="J581" s="28">
        <f t="shared" si="180"/>
        <v>49692</v>
      </c>
      <c r="K581" s="28">
        <f t="shared" si="180"/>
        <v>48109</v>
      </c>
      <c r="L581" s="28">
        <f t="shared" si="180"/>
        <v>48991</v>
      </c>
      <c r="M581" s="28">
        <f t="shared" si="180"/>
        <v>54016</v>
      </c>
      <c r="N581" s="28">
        <f t="shared" si="180"/>
        <v>58906</v>
      </c>
      <c r="O581" s="28">
        <f t="shared" si="180"/>
        <v>33757</v>
      </c>
      <c r="P581" s="28">
        <f t="shared" si="180"/>
        <v>18400</v>
      </c>
      <c r="Q581" s="28">
        <f t="shared" si="180"/>
        <v>20575</v>
      </c>
      <c r="R581" s="28">
        <f t="shared" si="180"/>
        <v>16144</v>
      </c>
      <c r="S581" s="28">
        <f t="shared" si="180"/>
        <v>16205</v>
      </c>
      <c r="T581" s="28">
        <f t="shared" si="180"/>
        <v>13238</v>
      </c>
      <c r="U581" s="28">
        <f t="shared" si="180"/>
        <v>12144</v>
      </c>
      <c r="V581" s="28">
        <f t="shared" si="180"/>
        <v>14461</v>
      </c>
    </row>
    <row r="582" spans="1:22" ht="38.25" x14ac:dyDescent="0.2">
      <c r="A582" s="28" t="s">
        <v>457</v>
      </c>
      <c r="B582" s="28" t="s">
        <v>581</v>
      </c>
      <c r="C582" s="28">
        <f t="shared" ref="C582:V582" si="181">C350-C605</f>
        <v>0</v>
      </c>
      <c r="D582" s="28">
        <f t="shared" si="181"/>
        <v>0</v>
      </c>
      <c r="E582" s="28">
        <f t="shared" si="181"/>
        <v>0</v>
      </c>
      <c r="F582" s="28">
        <f t="shared" si="181"/>
        <v>0</v>
      </c>
      <c r="G582" s="28">
        <f t="shared" si="181"/>
        <v>0</v>
      </c>
      <c r="H582" s="28">
        <f t="shared" si="181"/>
        <v>0</v>
      </c>
      <c r="I582" s="28">
        <f t="shared" si="181"/>
        <v>0</v>
      </c>
      <c r="J582" s="28">
        <f t="shared" si="181"/>
        <v>0</v>
      </c>
      <c r="K582" s="28">
        <f t="shared" si="181"/>
        <v>0</v>
      </c>
      <c r="L582" s="28">
        <f t="shared" si="181"/>
        <v>0</v>
      </c>
      <c r="M582" s="28">
        <f t="shared" si="181"/>
        <v>0</v>
      </c>
      <c r="N582" s="28">
        <f t="shared" si="181"/>
        <v>29195</v>
      </c>
      <c r="O582" s="28">
        <f t="shared" si="181"/>
        <v>38697</v>
      </c>
      <c r="P582" s="28">
        <f t="shared" si="181"/>
        <v>54246</v>
      </c>
      <c r="Q582" s="28">
        <f t="shared" si="181"/>
        <v>76999</v>
      </c>
      <c r="R582" s="28">
        <f t="shared" si="181"/>
        <v>73418</v>
      </c>
      <c r="S582" s="28">
        <f t="shared" si="181"/>
        <v>73312</v>
      </c>
      <c r="T582" s="28">
        <f t="shared" si="181"/>
        <v>70607</v>
      </c>
      <c r="U582" s="28">
        <f t="shared" si="181"/>
        <v>73079</v>
      </c>
      <c r="V582" s="28">
        <f t="shared" si="181"/>
        <v>94613</v>
      </c>
    </row>
    <row r="583" spans="1:22" ht="38.25" x14ac:dyDescent="0.2">
      <c r="A583" s="28" t="s">
        <v>457</v>
      </c>
      <c r="B583" s="28" t="s">
        <v>582</v>
      </c>
      <c r="C583" s="28">
        <f t="shared" ref="C583:V583" si="182">C351-C606</f>
        <v>0</v>
      </c>
      <c r="D583" s="28">
        <f t="shared" si="182"/>
        <v>2014</v>
      </c>
      <c r="E583" s="28">
        <f t="shared" si="182"/>
        <v>2117</v>
      </c>
      <c r="F583" s="28">
        <f t="shared" si="182"/>
        <v>2298</v>
      </c>
      <c r="G583" s="28">
        <f t="shared" si="182"/>
        <v>2566</v>
      </c>
      <c r="H583" s="28">
        <f t="shared" si="182"/>
        <v>2474</v>
      </c>
      <c r="I583" s="28">
        <f t="shared" si="182"/>
        <v>2375</v>
      </c>
      <c r="J583" s="28">
        <f t="shared" si="182"/>
        <v>2389</v>
      </c>
      <c r="K583" s="28">
        <f t="shared" si="182"/>
        <v>1974</v>
      </c>
      <c r="L583" s="28">
        <f t="shared" si="182"/>
        <v>2346</v>
      </c>
      <c r="M583" s="28">
        <f t="shared" si="182"/>
        <v>2511</v>
      </c>
      <c r="N583" s="28">
        <f t="shared" si="182"/>
        <v>3149</v>
      </c>
      <c r="O583" s="28">
        <f t="shared" si="182"/>
        <v>2955</v>
      </c>
      <c r="P583" s="28">
        <f t="shared" si="182"/>
        <v>2945</v>
      </c>
      <c r="Q583" s="28">
        <f t="shared" si="182"/>
        <v>3081</v>
      </c>
      <c r="R583" s="28">
        <f t="shared" si="182"/>
        <v>3451</v>
      </c>
      <c r="S583" s="28">
        <f t="shared" si="182"/>
        <v>2900</v>
      </c>
      <c r="T583" s="28">
        <f t="shared" si="182"/>
        <v>2642</v>
      </c>
      <c r="U583" s="28">
        <f t="shared" si="182"/>
        <v>2581</v>
      </c>
      <c r="V583" s="28">
        <f t="shared" si="182"/>
        <v>3513</v>
      </c>
    </row>
    <row r="584" spans="1:22" ht="38.25" x14ac:dyDescent="0.2">
      <c r="A584" s="28" t="s">
        <v>457</v>
      </c>
      <c r="B584" s="28" t="s">
        <v>583</v>
      </c>
      <c r="C584" s="28">
        <f t="shared" ref="C584:V584" si="183">C352-C607</f>
        <v>15350</v>
      </c>
      <c r="D584" s="28">
        <f t="shared" si="183"/>
        <v>16816</v>
      </c>
      <c r="E584" s="28">
        <f t="shared" si="183"/>
        <v>17544</v>
      </c>
      <c r="F584" s="28">
        <f t="shared" si="183"/>
        <v>18193</v>
      </c>
      <c r="G584" s="28">
        <f t="shared" si="183"/>
        <v>22669</v>
      </c>
      <c r="H584" s="28">
        <f t="shared" si="183"/>
        <v>22853</v>
      </c>
      <c r="I584" s="28">
        <f t="shared" si="183"/>
        <v>20521</v>
      </c>
      <c r="J584" s="28">
        <f t="shared" si="183"/>
        <v>21584</v>
      </c>
      <c r="K584" s="28">
        <f t="shared" si="183"/>
        <v>21402</v>
      </c>
      <c r="L584" s="28">
        <f t="shared" si="183"/>
        <v>24758</v>
      </c>
      <c r="M584" s="28">
        <f t="shared" si="183"/>
        <v>25472</v>
      </c>
      <c r="N584" s="28">
        <f t="shared" si="183"/>
        <v>25064</v>
      </c>
      <c r="O584" s="28">
        <f t="shared" si="183"/>
        <v>25263</v>
      </c>
      <c r="P584" s="28">
        <f t="shared" si="183"/>
        <v>25660</v>
      </c>
      <c r="Q584" s="28">
        <f t="shared" si="183"/>
        <v>25957</v>
      </c>
      <c r="R584" s="28">
        <f t="shared" si="183"/>
        <v>27293</v>
      </c>
      <c r="S584" s="28">
        <f t="shared" si="183"/>
        <v>28366</v>
      </c>
      <c r="T584" s="28">
        <f t="shared" si="183"/>
        <v>27191</v>
      </c>
      <c r="U584" s="28">
        <f t="shared" si="183"/>
        <v>26003</v>
      </c>
      <c r="V584" s="28">
        <f t="shared" si="183"/>
        <v>29794</v>
      </c>
    </row>
    <row r="585" spans="1:22" ht="63.75" x14ac:dyDescent="0.2">
      <c r="A585" s="28" t="s">
        <v>457</v>
      </c>
      <c r="B585" s="28" t="s">
        <v>584</v>
      </c>
      <c r="C585" s="28">
        <f t="shared" ref="C585:V585" si="184">C353-C608</f>
        <v>18240</v>
      </c>
      <c r="D585" s="28">
        <f t="shared" si="184"/>
        <v>13954</v>
      </c>
      <c r="E585" s="28">
        <f t="shared" si="184"/>
        <v>12837</v>
      </c>
      <c r="F585" s="28">
        <f t="shared" si="184"/>
        <v>11483</v>
      </c>
      <c r="G585" s="28">
        <f t="shared" si="184"/>
        <v>15212</v>
      </c>
      <c r="H585" s="28">
        <f t="shared" si="184"/>
        <v>15076</v>
      </c>
      <c r="I585" s="28">
        <f t="shared" si="184"/>
        <v>15568</v>
      </c>
      <c r="J585" s="28">
        <f t="shared" si="184"/>
        <v>16849</v>
      </c>
      <c r="K585" s="28">
        <f t="shared" si="184"/>
        <v>17721</v>
      </c>
      <c r="L585" s="28">
        <f t="shared" si="184"/>
        <v>16480</v>
      </c>
      <c r="M585" s="28">
        <f t="shared" si="184"/>
        <v>10060</v>
      </c>
      <c r="N585" s="28">
        <f t="shared" si="184"/>
        <v>10934</v>
      </c>
      <c r="O585" s="28">
        <f t="shared" si="184"/>
        <v>14481</v>
      </c>
      <c r="P585" s="28">
        <f t="shared" si="184"/>
        <v>10154</v>
      </c>
      <c r="Q585" s="28">
        <f t="shared" si="184"/>
        <v>11757</v>
      </c>
      <c r="R585" s="28">
        <f t="shared" si="184"/>
        <v>14529</v>
      </c>
      <c r="S585" s="28">
        <f t="shared" si="184"/>
        <v>17022</v>
      </c>
      <c r="T585" s="28">
        <f t="shared" si="184"/>
        <v>19395</v>
      </c>
      <c r="U585" s="28">
        <f t="shared" si="184"/>
        <v>16219</v>
      </c>
      <c r="V585" s="28">
        <f t="shared" si="184"/>
        <v>16821</v>
      </c>
    </row>
    <row r="586" spans="1:22" ht="38.25" x14ac:dyDescent="0.2">
      <c r="A586" s="28" t="s">
        <v>457</v>
      </c>
      <c r="B586" s="28" t="s">
        <v>585</v>
      </c>
      <c r="C586" s="28">
        <f t="shared" ref="C586:V586" si="185">C354-C609</f>
        <v>22676</v>
      </c>
      <c r="D586" s="28">
        <f t="shared" si="185"/>
        <v>25997</v>
      </c>
      <c r="E586" s="28">
        <f t="shared" si="185"/>
        <v>18208</v>
      </c>
      <c r="F586" s="28">
        <f t="shared" si="185"/>
        <v>16946</v>
      </c>
      <c r="G586" s="28">
        <f t="shared" si="185"/>
        <v>20591</v>
      </c>
      <c r="H586" s="28">
        <f t="shared" si="185"/>
        <v>20391</v>
      </c>
      <c r="I586" s="28">
        <f t="shared" si="185"/>
        <v>21942</v>
      </c>
      <c r="J586" s="28">
        <f t="shared" si="185"/>
        <v>22808</v>
      </c>
      <c r="K586" s="28">
        <f t="shared" si="185"/>
        <v>24330</v>
      </c>
      <c r="L586" s="28">
        <f t="shared" si="185"/>
        <v>28964</v>
      </c>
      <c r="M586" s="28">
        <f t="shared" si="185"/>
        <v>28371</v>
      </c>
      <c r="N586" s="28">
        <f t="shared" si="185"/>
        <v>29671</v>
      </c>
      <c r="O586" s="28">
        <f t="shared" si="185"/>
        <v>31068</v>
      </c>
      <c r="P586" s="28">
        <f t="shared" si="185"/>
        <v>33351</v>
      </c>
      <c r="Q586" s="28">
        <f t="shared" si="185"/>
        <v>35340</v>
      </c>
      <c r="R586" s="28">
        <f t="shared" si="185"/>
        <v>36968</v>
      </c>
      <c r="S586" s="28">
        <f t="shared" si="185"/>
        <v>39622</v>
      </c>
      <c r="T586" s="28">
        <f t="shared" si="185"/>
        <v>41953</v>
      </c>
      <c r="U586" s="28">
        <f t="shared" si="185"/>
        <v>35139</v>
      </c>
      <c r="V586" s="28">
        <f t="shared" si="185"/>
        <v>34751</v>
      </c>
    </row>
    <row r="587" spans="1:22" ht="51" x14ac:dyDescent="0.2">
      <c r="A587" s="28" t="s">
        <v>457</v>
      </c>
      <c r="B587" s="28" t="s">
        <v>586</v>
      </c>
      <c r="C587" s="28">
        <f t="shared" ref="C587:V587" si="186">C355-C610</f>
        <v>55647</v>
      </c>
      <c r="D587" s="28">
        <f t="shared" si="186"/>
        <v>51337</v>
      </c>
      <c r="E587" s="28">
        <f t="shared" si="186"/>
        <v>46539</v>
      </c>
      <c r="F587" s="28">
        <f t="shared" si="186"/>
        <v>43044</v>
      </c>
      <c r="G587" s="28">
        <f t="shared" si="186"/>
        <v>47947</v>
      </c>
      <c r="H587" s="28">
        <f t="shared" si="186"/>
        <v>48513</v>
      </c>
      <c r="I587" s="28">
        <f t="shared" si="186"/>
        <v>44386</v>
      </c>
      <c r="J587" s="28">
        <f t="shared" si="186"/>
        <v>47734</v>
      </c>
      <c r="K587" s="28">
        <f t="shared" si="186"/>
        <v>51585</v>
      </c>
      <c r="L587" s="28">
        <f t="shared" si="186"/>
        <v>50513</v>
      </c>
      <c r="M587" s="28">
        <f t="shared" si="186"/>
        <v>48731</v>
      </c>
      <c r="N587" s="28">
        <f t="shared" si="186"/>
        <v>49524</v>
      </c>
      <c r="O587" s="28">
        <f t="shared" si="186"/>
        <v>49279</v>
      </c>
      <c r="P587" s="28">
        <f t="shared" si="186"/>
        <v>49146</v>
      </c>
      <c r="Q587" s="28">
        <f t="shared" si="186"/>
        <v>44190</v>
      </c>
      <c r="R587" s="28">
        <f t="shared" si="186"/>
        <v>42141</v>
      </c>
      <c r="S587" s="28">
        <f t="shared" si="186"/>
        <v>41788</v>
      </c>
      <c r="T587" s="28">
        <f t="shared" si="186"/>
        <v>32879</v>
      </c>
      <c r="U587" s="28">
        <f t="shared" si="186"/>
        <v>33480</v>
      </c>
      <c r="V587" s="28">
        <f t="shared" si="186"/>
        <v>40567</v>
      </c>
    </row>
    <row r="588" spans="1:22" ht="51" x14ac:dyDescent="0.2">
      <c r="A588" s="28" t="s">
        <v>457</v>
      </c>
      <c r="B588" s="28" t="s">
        <v>587</v>
      </c>
      <c r="C588" s="28">
        <f t="shared" ref="C588:V588" si="187">C356-C611</f>
        <v>432943</v>
      </c>
      <c r="D588" s="28">
        <f t="shared" si="187"/>
        <v>499072</v>
      </c>
      <c r="E588" s="28">
        <f t="shared" si="187"/>
        <v>590480</v>
      </c>
      <c r="F588" s="28">
        <f t="shared" si="187"/>
        <v>524334</v>
      </c>
      <c r="G588" s="28">
        <f t="shared" si="187"/>
        <v>521347</v>
      </c>
      <c r="H588" s="28">
        <f t="shared" si="187"/>
        <v>124720</v>
      </c>
      <c r="I588" s="28">
        <f t="shared" si="187"/>
        <v>91377</v>
      </c>
      <c r="J588" s="28">
        <f t="shared" si="187"/>
        <v>95846</v>
      </c>
      <c r="K588" s="28">
        <f t="shared" si="187"/>
        <v>97522</v>
      </c>
      <c r="L588" s="28">
        <f t="shared" si="187"/>
        <v>83096</v>
      </c>
      <c r="M588" s="28">
        <f t="shared" si="187"/>
        <v>70493</v>
      </c>
      <c r="N588" s="28">
        <f t="shared" si="187"/>
        <v>56177</v>
      </c>
      <c r="O588" s="28">
        <f t="shared" si="187"/>
        <v>53889</v>
      </c>
      <c r="P588" s="28">
        <f t="shared" si="187"/>
        <v>56414</v>
      </c>
      <c r="Q588" s="28">
        <f t="shared" si="187"/>
        <v>64504</v>
      </c>
      <c r="R588" s="28">
        <f t="shared" si="187"/>
        <v>70861</v>
      </c>
      <c r="S588" s="28">
        <f t="shared" si="187"/>
        <v>78648</v>
      </c>
      <c r="T588" s="28">
        <f t="shared" si="187"/>
        <v>78313</v>
      </c>
      <c r="U588" s="28">
        <f t="shared" si="187"/>
        <v>74430</v>
      </c>
      <c r="V588" s="28">
        <f t="shared" si="187"/>
        <v>79015</v>
      </c>
    </row>
    <row r="589" spans="1:22" ht="63.75" x14ac:dyDescent="0.2">
      <c r="A589" s="28" t="s">
        <v>457</v>
      </c>
      <c r="B589" s="28" t="s">
        <v>588</v>
      </c>
      <c r="C589" s="28">
        <f t="shared" ref="C589:V589" si="188">C357-C612</f>
        <v>5961</v>
      </c>
      <c r="D589" s="28">
        <f t="shared" si="188"/>
        <v>5584</v>
      </c>
      <c r="E589" s="28">
        <f t="shared" si="188"/>
        <v>5906</v>
      </c>
      <c r="F589" s="28">
        <f t="shared" si="188"/>
        <v>8109</v>
      </c>
      <c r="G589" s="28">
        <f t="shared" si="188"/>
        <v>7042</v>
      </c>
      <c r="H589" s="28">
        <f t="shared" si="188"/>
        <v>7131</v>
      </c>
      <c r="I589" s="28">
        <f t="shared" si="188"/>
        <v>8285</v>
      </c>
      <c r="J589" s="28">
        <f t="shared" si="188"/>
        <v>11891</v>
      </c>
      <c r="K589" s="28">
        <f t="shared" si="188"/>
        <v>11254</v>
      </c>
      <c r="L589" s="28">
        <f t="shared" si="188"/>
        <v>14373</v>
      </c>
      <c r="M589" s="28">
        <f t="shared" si="188"/>
        <v>16653</v>
      </c>
      <c r="N589" s="28">
        <f t="shared" si="188"/>
        <v>15062</v>
      </c>
      <c r="O589" s="28">
        <f t="shared" si="188"/>
        <v>14423</v>
      </c>
      <c r="P589" s="28">
        <f t="shared" si="188"/>
        <v>16286</v>
      </c>
      <c r="Q589" s="28">
        <f t="shared" si="188"/>
        <v>20675</v>
      </c>
      <c r="R589" s="28">
        <f t="shared" si="188"/>
        <v>23535</v>
      </c>
      <c r="S589" s="28">
        <f t="shared" si="188"/>
        <v>28410</v>
      </c>
      <c r="T589" s="28">
        <f t="shared" si="188"/>
        <v>20984</v>
      </c>
      <c r="U589" s="28">
        <f t="shared" si="188"/>
        <v>19340</v>
      </c>
      <c r="V589" s="28">
        <f t="shared" si="188"/>
        <v>21099</v>
      </c>
    </row>
    <row r="590" spans="1:22" ht="63.75" x14ac:dyDescent="0.2">
      <c r="A590" s="28" t="s">
        <v>457</v>
      </c>
      <c r="B590" s="28" t="s">
        <v>589</v>
      </c>
      <c r="C590" s="28">
        <f t="shared" ref="C590:V590" si="189">C358-C613</f>
        <v>30267</v>
      </c>
      <c r="D590" s="28">
        <f t="shared" si="189"/>
        <v>39599</v>
      </c>
      <c r="E590" s="28">
        <f t="shared" si="189"/>
        <v>45123</v>
      </c>
      <c r="F590" s="28">
        <f t="shared" si="189"/>
        <v>46696</v>
      </c>
      <c r="G590" s="28">
        <f t="shared" si="189"/>
        <v>49199</v>
      </c>
      <c r="H590" s="28">
        <f t="shared" si="189"/>
        <v>45632</v>
      </c>
      <c r="I590" s="28">
        <f t="shared" si="189"/>
        <v>44020</v>
      </c>
      <c r="J590" s="28">
        <f t="shared" si="189"/>
        <v>46020</v>
      </c>
      <c r="K590" s="28">
        <f t="shared" si="189"/>
        <v>44848</v>
      </c>
      <c r="L590" s="28">
        <f t="shared" si="189"/>
        <v>45474</v>
      </c>
      <c r="M590" s="28">
        <f t="shared" si="189"/>
        <v>48988</v>
      </c>
      <c r="N590" s="28">
        <f t="shared" si="189"/>
        <v>48424</v>
      </c>
      <c r="O590" s="28">
        <f t="shared" si="189"/>
        <v>38057</v>
      </c>
      <c r="P590" s="28">
        <f t="shared" si="189"/>
        <v>57262</v>
      </c>
      <c r="Q590" s="28">
        <f t="shared" si="189"/>
        <v>54327</v>
      </c>
      <c r="R590" s="28">
        <f t="shared" si="189"/>
        <v>47018</v>
      </c>
      <c r="S590" s="28">
        <f t="shared" si="189"/>
        <v>50429</v>
      </c>
      <c r="T590" s="28">
        <f t="shared" si="189"/>
        <v>43672</v>
      </c>
      <c r="U590" s="28">
        <f t="shared" si="189"/>
        <v>43497</v>
      </c>
      <c r="V590" s="28">
        <f t="shared" si="189"/>
        <v>47474</v>
      </c>
    </row>
    <row r="591" spans="1:22" ht="51" x14ac:dyDescent="0.2">
      <c r="A591" s="28" t="s">
        <v>457</v>
      </c>
      <c r="B591" s="28" t="s">
        <v>590</v>
      </c>
      <c r="C591" s="28">
        <f t="shared" ref="C591:V591" si="190">C359-C614</f>
        <v>628</v>
      </c>
      <c r="D591" s="28">
        <f t="shared" si="190"/>
        <v>987</v>
      </c>
      <c r="E591" s="28">
        <f t="shared" si="190"/>
        <v>1131</v>
      </c>
      <c r="F591" s="28">
        <f t="shared" si="190"/>
        <v>1341</v>
      </c>
      <c r="G591" s="28">
        <f t="shared" si="190"/>
        <v>1184</v>
      </c>
      <c r="H591" s="28">
        <f t="shared" si="190"/>
        <v>1540</v>
      </c>
      <c r="I591" s="28">
        <f t="shared" si="190"/>
        <v>979</v>
      </c>
      <c r="J591" s="28">
        <f t="shared" si="190"/>
        <v>1082</v>
      </c>
      <c r="K591" s="28">
        <f t="shared" si="190"/>
        <v>977</v>
      </c>
      <c r="L591" s="28">
        <f t="shared" si="190"/>
        <v>1699</v>
      </c>
      <c r="M591" s="28">
        <f t="shared" si="190"/>
        <v>2460</v>
      </c>
      <c r="N591" s="28">
        <f t="shared" si="190"/>
        <v>922</v>
      </c>
      <c r="O591" s="28">
        <f t="shared" si="190"/>
        <v>960</v>
      </c>
      <c r="P591" s="28">
        <f t="shared" si="190"/>
        <v>914</v>
      </c>
      <c r="Q591" s="28">
        <f t="shared" si="190"/>
        <v>1000</v>
      </c>
      <c r="R591" s="28">
        <f t="shared" si="190"/>
        <v>927</v>
      </c>
      <c r="S591" s="28">
        <f t="shared" si="190"/>
        <v>1286</v>
      </c>
      <c r="T591" s="28">
        <f t="shared" si="190"/>
        <v>841</v>
      </c>
      <c r="U591" s="28">
        <f t="shared" si="190"/>
        <v>911</v>
      </c>
      <c r="V591" s="28">
        <f t="shared" si="190"/>
        <v>790</v>
      </c>
    </row>
    <row r="592" spans="1:22" s="7" customFormat="1" ht="51" x14ac:dyDescent="0.2">
      <c r="A592" s="28" t="s">
        <v>457</v>
      </c>
      <c r="B592" s="28" t="s">
        <v>591</v>
      </c>
      <c r="C592" s="28">
        <f t="shared" ref="C592:V592" si="191">SUM(C593:C595)</f>
        <v>97561</v>
      </c>
      <c r="D592" s="28">
        <f t="shared" si="191"/>
        <v>105409</v>
      </c>
      <c r="E592" s="28">
        <f t="shared" si="191"/>
        <v>109554</v>
      </c>
      <c r="F592" s="28">
        <f t="shared" si="191"/>
        <v>119186</v>
      </c>
      <c r="G592" s="28">
        <f t="shared" si="191"/>
        <v>146153</v>
      </c>
      <c r="H592" s="28">
        <f t="shared" si="191"/>
        <v>153243</v>
      </c>
      <c r="I592" s="28">
        <f t="shared" si="191"/>
        <v>155570</v>
      </c>
      <c r="J592" s="28">
        <f t="shared" si="191"/>
        <v>163035</v>
      </c>
      <c r="K592" s="28">
        <f t="shared" si="191"/>
        <v>180581</v>
      </c>
      <c r="L592" s="28">
        <f t="shared" si="191"/>
        <v>229731</v>
      </c>
      <c r="M592" s="28">
        <f t="shared" si="191"/>
        <v>233027</v>
      </c>
      <c r="N592" s="28">
        <f t="shared" si="191"/>
        <v>257891</v>
      </c>
      <c r="O592" s="28">
        <f t="shared" si="191"/>
        <v>174754</v>
      </c>
      <c r="P592" s="28">
        <f t="shared" si="191"/>
        <v>175161</v>
      </c>
      <c r="Q592" s="28">
        <f t="shared" si="191"/>
        <v>187832</v>
      </c>
      <c r="R592" s="28">
        <f t="shared" si="191"/>
        <v>171752</v>
      </c>
      <c r="S592" s="28">
        <f t="shared" si="191"/>
        <v>163838</v>
      </c>
      <c r="T592" s="28">
        <f t="shared" si="191"/>
        <v>153902</v>
      </c>
      <c r="U592" s="28">
        <f t="shared" si="191"/>
        <v>163630</v>
      </c>
      <c r="V592" s="28">
        <f t="shared" si="191"/>
        <v>202101</v>
      </c>
    </row>
    <row r="593" spans="1:22" s="7" customFormat="1" ht="38.25" x14ac:dyDescent="0.2">
      <c r="A593" s="28" t="s">
        <v>457</v>
      </c>
      <c r="B593" s="28" t="s">
        <v>592</v>
      </c>
      <c r="C593" s="28">
        <f t="shared" ref="C593:V593" si="192">C361-C616</f>
        <v>8491</v>
      </c>
      <c r="D593" s="28">
        <f t="shared" si="192"/>
        <v>9058</v>
      </c>
      <c r="E593" s="28">
        <f t="shared" si="192"/>
        <v>8748</v>
      </c>
      <c r="F593" s="28">
        <f t="shared" si="192"/>
        <v>9070</v>
      </c>
      <c r="G593" s="28">
        <f t="shared" si="192"/>
        <v>9848</v>
      </c>
      <c r="H593" s="28">
        <f t="shared" si="192"/>
        <v>9226</v>
      </c>
      <c r="I593" s="28">
        <f t="shared" si="192"/>
        <v>9745</v>
      </c>
      <c r="J593" s="28">
        <f t="shared" si="192"/>
        <v>9857</v>
      </c>
      <c r="K593" s="28">
        <f t="shared" si="192"/>
        <v>9071</v>
      </c>
      <c r="L593" s="28">
        <f t="shared" si="192"/>
        <v>9381</v>
      </c>
      <c r="M593" s="28">
        <f t="shared" si="192"/>
        <v>10750</v>
      </c>
      <c r="N593" s="28">
        <f t="shared" si="192"/>
        <v>13319</v>
      </c>
      <c r="O593" s="28">
        <f t="shared" si="192"/>
        <v>15192</v>
      </c>
      <c r="P593" s="28">
        <f t="shared" si="192"/>
        <v>16335</v>
      </c>
      <c r="Q593" s="28">
        <f t="shared" si="192"/>
        <v>18009</v>
      </c>
      <c r="R593" s="28">
        <f t="shared" si="192"/>
        <v>18737</v>
      </c>
      <c r="S593" s="28">
        <f t="shared" si="192"/>
        <v>18876</v>
      </c>
      <c r="T593" s="28">
        <f t="shared" si="192"/>
        <v>19496</v>
      </c>
      <c r="U593" s="28">
        <f t="shared" si="192"/>
        <v>22690</v>
      </c>
      <c r="V593" s="28">
        <f t="shared" si="192"/>
        <v>24110</v>
      </c>
    </row>
    <row r="594" spans="1:22" s="7" customFormat="1" ht="38.25" x14ac:dyDescent="0.2">
      <c r="A594" s="28" t="s">
        <v>457</v>
      </c>
      <c r="B594" s="28" t="s">
        <v>593</v>
      </c>
      <c r="C594" s="28">
        <f t="shared" ref="C594:V594" si="193">C730+C715+C712+C722+C716</f>
        <v>49568</v>
      </c>
      <c r="D594" s="28">
        <f t="shared" si="193"/>
        <v>53877</v>
      </c>
      <c r="E594" s="28">
        <f t="shared" si="193"/>
        <v>58918</v>
      </c>
      <c r="F594" s="28">
        <f t="shared" si="193"/>
        <v>66620</v>
      </c>
      <c r="G594" s="28">
        <f t="shared" si="193"/>
        <v>86820</v>
      </c>
      <c r="H594" s="28">
        <f t="shared" si="193"/>
        <v>95120</v>
      </c>
      <c r="I594" s="28">
        <f t="shared" si="193"/>
        <v>101431</v>
      </c>
      <c r="J594" s="28">
        <f t="shared" si="193"/>
        <v>112073</v>
      </c>
      <c r="K594" s="28">
        <f t="shared" si="193"/>
        <v>132870</v>
      </c>
      <c r="L594" s="28">
        <f t="shared" si="193"/>
        <v>170002</v>
      </c>
      <c r="M594" s="28">
        <f t="shared" si="193"/>
        <v>167797</v>
      </c>
      <c r="N594" s="28">
        <f t="shared" si="193"/>
        <v>194359</v>
      </c>
      <c r="O594" s="28">
        <f t="shared" si="193"/>
        <v>123404</v>
      </c>
      <c r="P594" s="28">
        <f t="shared" si="193"/>
        <v>113210</v>
      </c>
      <c r="Q594" s="28">
        <f t="shared" si="193"/>
        <v>103354</v>
      </c>
      <c r="R594" s="28">
        <f t="shared" si="193"/>
        <v>96648</v>
      </c>
      <c r="S594" s="28">
        <f t="shared" si="193"/>
        <v>94741</v>
      </c>
      <c r="T594" s="28">
        <f t="shared" si="193"/>
        <v>82278</v>
      </c>
      <c r="U594" s="28">
        <f t="shared" si="193"/>
        <v>82776</v>
      </c>
      <c r="V594" s="28">
        <f t="shared" si="193"/>
        <v>106619</v>
      </c>
    </row>
    <row r="595" spans="1:22" s="7" customFormat="1" ht="25.5" x14ac:dyDescent="0.2">
      <c r="A595" s="28" t="s">
        <v>457</v>
      </c>
      <c r="B595" s="28" t="s">
        <v>594</v>
      </c>
      <c r="C595" s="28">
        <f t="shared" ref="C595:V595" si="194">C759+C762+C763+C767</f>
        <v>39502</v>
      </c>
      <c r="D595" s="28">
        <f t="shared" si="194"/>
        <v>42474</v>
      </c>
      <c r="E595" s="28">
        <f t="shared" si="194"/>
        <v>41888</v>
      </c>
      <c r="F595" s="28">
        <f t="shared" si="194"/>
        <v>43496</v>
      </c>
      <c r="G595" s="28">
        <f t="shared" si="194"/>
        <v>49485</v>
      </c>
      <c r="H595" s="28">
        <f t="shared" si="194"/>
        <v>48897</v>
      </c>
      <c r="I595" s="28">
        <f t="shared" si="194"/>
        <v>44394</v>
      </c>
      <c r="J595" s="28">
        <f t="shared" si="194"/>
        <v>41105</v>
      </c>
      <c r="K595" s="28">
        <f t="shared" si="194"/>
        <v>38640</v>
      </c>
      <c r="L595" s="28">
        <f t="shared" si="194"/>
        <v>50348</v>
      </c>
      <c r="M595" s="28">
        <f t="shared" si="194"/>
        <v>54480</v>
      </c>
      <c r="N595" s="28">
        <f t="shared" si="194"/>
        <v>50213</v>
      </c>
      <c r="O595" s="28">
        <f t="shared" si="194"/>
        <v>36158</v>
      </c>
      <c r="P595" s="28">
        <f t="shared" si="194"/>
        <v>45616</v>
      </c>
      <c r="Q595" s="28">
        <f t="shared" si="194"/>
        <v>66469</v>
      </c>
      <c r="R595" s="28">
        <f t="shared" si="194"/>
        <v>56367</v>
      </c>
      <c r="S595" s="28">
        <f t="shared" si="194"/>
        <v>50221</v>
      </c>
      <c r="T595" s="28">
        <f t="shared" si="194"/>
        <v>52128</v>
      </c>
      <c r="U595" s="28">
        <f t="shared" si="194"/>
        <v>58164</v>
      </c>
      <c r="V595" s="28">
        <f t="shared" si="194"/>
        <v>71372</v>
      </c>
    </row>
    <row r="596" spans="1:22" s="7" customFormat="1" ht="63.75" x14ac:dyDescent="0.2">
      <c r="A596" s="28" t="s">
        <v>457</v>
      </c>
      <c r="B596" s="28" t="s">
        <v>595</v>
      </c>
      <c r="C596" s="28">
        <f t="shared" ref="C596:V596" si="195">SUM(C597:C598)</f>
        <v>11761</v>
      </c>
      <c r="D596" s="28">
        <f t="shared" si="195"/>
        <v>11864</v>
      </c>
      <c r="E596" s="28">
        <f t="shared" si="195"/>
        <v>13274</v>
      </c>
      <c r="F596" s="28">
        <f t="shared" si="195"/>
        <v>14006</v>
      </c>
      <c r="G596" s="28">
        <f t="shared" si="195"/>
        <v>15284</v>
      </c>
      <c r="H596" s="28">
        <f t="shared" si="195"/>
        <v>13094</v>
      </c>
      <c r="I596" s="28">
        <f t="shared" si="195"/>
        <v>12780</v>
      </c>
      <c r="J596" s="28">
        <f t="shared" si="195"/>
        <v>11594</v>
      </c>
      <c r="K596" s="28">
        <f t="shared" si="195"/>
        <v>12249</v>
      </c>
      <c r="L596" s="28">
        <f t="shared" si="195"/>
        <v>14939</v>
      </c>
      <c r="M596" s="28">
        <f t="shared" si="195"/>
        <v>16621</v>
      </c>
      <c r="N596" s="28">
        <f t="shared" si="195"/>
        <v>16145</v>
      </c>
      <c r="O596" s="28">
        <f t="shared" si="195"/>
        <v>11980</v>
      </c>
      <c r="P596" s="28">
        <f t="shared" si="195"/>
        <v>11524</v>
      </c>
      <c r="Q596" s="28">
        <f t="shared" si="195"/>
        <v>10717</v>
      </c>
      <c r="R596" s="28">
        <f t="shared" si="195"/>
        <v>11373</v>
      </c>
      <c r="S596" s="28">
        <f t="shared" si="195"/>
        <v>11040</v>
      </c>
      <c r="T596" s="28">
        <f t="shared" si="195"/>
        <v>10183</v>
      </c>
      <c r="U596" s="28">
        <f t="shared" si="195"/>
        <v>10101</v>
      </c>
      <c r="V596" s="28">
        <f t="shared" si="195"/>
        <v>10088</v>
      </c>
    </row>
    <row r="597" spans="1:22" s="7" customFormat="1" ht="38.25" x14ac:dyDescent="0.2">
      <c r="A597" s="28" t="s">
        <v>457</v>
      </c>
      <c r="B597" s="28" t="s">
        <v>596</v>
      </c>
      <c r="C597" s="28">
        <f t="shared" ref="C597:V597" si="196">C365-C620</f>
        <v>11108</v>
      </c>
      <c r="D597" s="28">
        <f t="shared" si="196"/>
        <v>11050</v>
      </c>
      <c r="E597" s="28">
        <f t="shared" si="196"/>
        <v>12457</v>
      </c>
      <c r="F597" s="28">
        <f t="shared" si="196"/>
        <v>13292</v>
      </c>
      <c r="G597" s="28">
        <f t="shared" si="196"/>
        <v>14514</v>
      </c>
      <c r="H597" s="28">
        <f t="shared" si="196"/>
        <v>12461</v>
      </c>
      <c r="I597" s="28">
        <f t="shared" si="196"/>
        <v>12163</v>
      </c>
      <c r="J597" s="28">
        <f t="shared" si="196"/>
        <v>10928</v>
      </c>
      <c r="K597" s="28">
        <f t="shared" si="196"/>
        <v>11630</v>
      </c>
      <c r="L597" s="28">
        <f t="shared" si="196"/>
        <v>14121</v>
      </c>
      <c r="M597" s="28">
        <f t="shared" si="196"/>
        <v>15652</v>
      </c>
      <c r="N597" s="28">
        <f t="shared" si="196"/>
        <v>14976</v>
      </c>
      <c r="O597" s="28">
        <f t="shared" si="196"/>
        <v>11419</v>
      </c>
      <c r="P597" s="28">
        <f t="shared" si="196"/>
        <v>10956</v>
      </c>
      <c r="Q597" s="28">
        <f t="shared" si="196"/>
        <v>10201</v>
      </c>
      <c r="R597" s="28">
        <f t="shared" si="196"/>
        <v>10765</v>
      </c>
      <c r="S597" s="28">
        <f t="shared" si="196"/>
        <v>10516</v>
      </c>
      <c r="T597" s="28">
        <f t="shared" si="196"/>
        <v>9480</v>
      </c>
      <c r="U597" s="28">
        <f t="shared" si="196"/>
        <v>9472</v>
      </c>
      <c r="V597" s="28">
        <f t="shared" si="196"/>
        <v>9357</v>
      </c>
    </row>
    <row r="598" spans="1:22" s="7" customFormat="1" ht="38.25" x14ac:dyDescent="0.2">
      <c r="A598" s="28" t="s">
        <v>457</v>
      </c>
      <c r="B598" s="28" t="s">
        <v>597</v>
      </c>
      <c r="C598" s="28">
        <f>C821+C823+C825</f>
        <v>653</v>
      </c>
      <c r="D598" s="28">
        <f t="shared" ref="D598:V598" si="197">D821+D823+D825</f>
        <v>814</v>
      </c>
      <c r="E598" s="28">
        <f t="shared" si="197"/>
        <v>817</v>
      </c>
      <c r="F598" s="28">
        <f t="shared" si="197"/>
        <v>714</v>
      </c>
      <c r="G598" s="28">
        <f t="shared" si="197"/>
        <v>770</v>
      </c>
      <c r="H598" s="28">
        <f t="shared" si="197"/>
        <v>633</v>
      </c>
      <c r="I598" s="28">
        <f t="shared" si="197"/>
        <v>617</v>
      </c>
      <c r="J598" s="28">
        <f t="shared" si="197"/>
        <v>666</v>
      </c>
      <c r="K598" s="28">
        <f t="shared" si="197"/>
        <v>619</v>
      </c>
      <c r="L598" s="28">
        <f t="shared" si="197"/>
        <v>818</v>
      </c>
      <c r="M598" s="28">
        <f t="shared" si="197"/>
        <v>969</v>
      </c>
      <c r="N598" s="28">
        <f t="shared" si="197"/>
        <v>1169</v>
      </c>
      <c r="O598" s="28">
        <f t="shared" si="197"/>
        <v>561</v>
      </c>
      <c r="P598" s="28">
        <f t="shared" si="197"/>
        <v>568</v>
      </c>
      <c r="Q598" s="28">
        <f t="shared" si="197"/>
        <v>516</v>
      </c>
      <c r="R598" s="28">
        <f t="shared" si="197"/>
        <v>608</v>
      </c>
      <c r="S598" s="28">
        <f t="shared" si="197"/>
        <v>524</v>
      </c>
      <c r="T598" s="28">
        <f t="shared" si="197"/>
        <v>703</v>
      </c>
      <c r="U598" s="28">
        <f t="shared" si="197"/>
        <v>629</v>
      </c>
      <c r="V598" s="28">
        <f t="shared" si="197"/>
        <v>731</v>
      </c>
    </row>
    <row r="599" spans="1:22" ht="38.25" x14ac:dyDescent="0.2">
      <c r="A599" s="28" t="s">
        <v>457</v>
      </c>
      <c r="B599" s="28" t="s">
        <v>598</v>
      </c>
      <c r="C599" s="28">
        <f t="shared" ref="C599:V599" si="198">C240-C622</f>
        <v>17891</v>
      </c>
      <c r="D599" s="28">
        <f t="shared" si="198"/>
        <v>17119</v>
      </c>
      <c r="E599" s="28">
        <f t="shared" si="198"/>
        <v>15616</v>
      </c>
      <c r="F599" s="28">
        <f t="shared" si="198"/>
        <v>16722</v>
      </c>
      <c r="G599" s="28">
        <f t="shared" si="198"/>
        <v>18415</v>
      </c>
      <c r="H599" s="28">
        <f t="shared" si="198"/>
        <v>16040</v>
      </c>
      <c r="I599" s="28">
        <f t="shared" si="198"/>
        <v>13876</v>
      </c>
      <c r="J599" s="28">
        <f t="shared" si="198"/>
        <v>15072</v>
      </c>
      <c r="K599" s="28">
        <f t="shared" si="198"/>
        <v>13921</v>
      </c>
      <c r="L599" s="28">
        <f t="shared" si="198"/>
        <v>15634</v>
      </c>
      <c r="M599" s="28">
        <f t="shared" si="198"/>
        <v>13595</v>
      </c>
      <c r="N599" s="28">
        <f t="shared" si="198"/>
        <v>11365</v>
      </c>
      <c r="O599" s="28">
        <f t="shared" si="198"/>
        <v>16069</v>
      </c>
      <c r="P599" s="28">
        <f t="shared" si="198"/>
        <v>17494</v>
      </c>
      <c r="Q599" s="28">
        <f t="shared" si="198"/>
        <v>18042</v>
      </c>
      <c r="R599" s="28">
        <f t="shared" si="198"/>
        <v>16963</v>
      </c>
      <c r="S599" s="28">
        <f t="shared" si="198"/>
        <v>17099</v>
      </c>
      <c r="T599" s="28">
        <f t="shared" si="198"/>
        <v>18834</v>
      </c>
      <c r="U599" s="28">
        <f t="shared" si="198"/>
        <v>17765</v>
      </c>
      <c r="V599" s="28">
        <f t="shared" si="198"/>
        <v>20444</v>
      </c>
    </row>
    <row r="600" spans="1:22" ht="38.25" x14ac:dyDescent="0.2">
      <c r="A600" s="28" t="s">
        <v>457</v>
      </c>
      <c r="B600" s="28" t="s">
        <v>599</v>
      </c>
      <c r="C600" s="28">
        <f t="shared" ref="C600:V600" si="199">C252-C634</f>
        <v>3559</v>
      </c>
      <c r="D600" s="28">
        <f t="shared" si="199"/>
        <v>3881</v>
      </c>
      <c r="E600" s="28">
        <f t="shared" si="199"/>
        <v>3650</v>
      </c>
      <c r="F600" s="28">
        <f t="shared" si="199"/>
        <v>3832</v>
      </c>
      <c r="G600" s="28">
        <f t="shared" si="199"/>
        <v>4841</v>
      </c>
      <c r="H600" s="28">
        <f t="shared" si="199"/>
        <v>4334</v>
      </c>
      <c r="I600" s="28">
        <f t="shared" si="199"/>
        <v>4914</v>
      </c>
      <c r="J600" s="28">
        <f t="shared" si="199"/>
        <v>5052</v>
      </c>
      <c r="K600" s="28">
        <f t="shared" si="199"/>
        <v>5797</v>
      </c>
      <c r="L600" s="28">
        <f t="shared" si="199"/>
        <v>6576</v>
      </c>
      <c r="M600" s="28">
        <f t="shared" si="199"/>
        <v>6421</v>
      </c>
      <c r="N600" s="28">
        <f t="shared" si="199"/>
        <v>6467</v>
      </c>
      <c r="O600" s="28">
        <f t="shared" si="199"/>
        <v>3915</v>
      </c>
      <c r="P600" s="28">
        <f t="shared" si="199"/>
        <v>4102</v>
      </c>
      <c r="Q600" s="28">
        <f t="shared" si="199"/>
        <v>3998</v>
      </c>
      <c r="R600" s="28">
        <f t="shared" si="199"/>
        <v>3831</v>
      </c>
      <c r="S600" s="28">
        <f t="shared" si="199"/>
        <v>4009</v>
      </c>
      <c r="T600" s="28">
        <f t="shared" si="199"/>
        <v>5139</v>
      </c>
      <c r="U600" s="28">
        <f t="shared" si="199"/>
        <v>5663</v>
      </c>
      <c r="V600" s="28">
        <f t="shared" si="199"/>
        <v>12263</v>
      </c>
    </row>
    <row r="601" spans="1:22" ht="38.25" x14ac:dyDescent="0.2">
      <c r="A601" s="28" t="s">
        <v>600</v>
      </c>
      <c r="B601" s="28" t="s">
        <v>601</v>
      </c>
      <c r="C601" s="28">
        <f t="shared" ref="C601:V601" si="200">C603+C615+C619+C622+C634</f>
        <v>38913</v>
      </c>
      <c r="D601" s="28">
        <f t="shared" si="200"/>
        <v>41844</v>
      </c>
      <c r="E601" s="28">
        <f t="shared" si="200"/>
        <v>36892</v>
      </c>
      <c r="F601" s="28">
        <f t="shared" si="200"/>
        <v>38727</v>
      </c>
      <c r="G601" s="28">
        <f t="shared" si="200"/>
        <v>43336</v>
      </c>
      <c r="H601" s="28">
        <f t="shared" si="200"/>
        <v>40168</v>
      </c>
      <c r="I601" s="28">
        <f t="shared" si="200"/>
        <v>37324</v>
      </c>
      <c r="J601" s="28">
        <f t="shared" si="200"/>
        <v>39345</v>
      </c>
      <c r="K601" s="28">
        <f t="shared" si="200"/>
        <v>42163</v>
      </c>
      <c r="L601" s="28">
        <f t="shared" si="200"/>
        <v>45571</v>
      </c>
      <c r="M601" s="28">
        <f t="shared" si="200"/>
        <v>46136</v>
      </c>
      <c r="N601" s="28">
        <f t="shared" si="200"/>
        <v>42586</v>
      </c>
      <c r="O601" s="28">
        <f t="shared" si="200"/>
        <v>37967</v>
      </c>
      <c r="P601" s="28">
        <f t="shared" si="200"/>
        <v>37176</v>
      </c>
      <c r="Q601" s="28">
        <f t="shared" si="200"/>
        <v>38473</v>
      </c>
      <c r="R601" s="28">
        <f t="shared" si="200"/>
        <v>53174</v>
      </c>
      <c r="S601" s="28">
        <f t="shared" si="200"/>
        <v>48001</v>
      </c>
      <c r="T601" s="28">
        <f t="shared" si="200"/>
        <v>49532</v>
      </c>
      <c r="U601" s="28">
        <f t="shared" si="200"/>
        <v>55508</v>
      </c>
      <c r="V601" s="28">
        <f t="shared" si="200"/>
        <v>87370</v>
      </c>
    </row>
    <row r="602" spans="1:22" ht="51" x14ac:dyDescent="0.2">
      <c r="A602" s="28" t="s">
        <v>600</v>
      </c>
      <c r="B602" s="28" t="s">
        <v>602</v>
      </c>
      <c r="C602" s="28">
        <f t="array" ref="C602">SUM(C603+C616:C617+C620)</f>
        <v>37821</v>
      </c>
      <c r="D602" s="28">
        <f t="array" ref="D602">SUM(D603+D616:D617+D620)</f>
        <v>47147</v>
      </c>
      <c r="E602" s="28">
        <f t="array" ref="E602">SUM(E603+E616:E617+E620)</f>
        <v>42246</v>
      </c>
      <c r="F602" s="28">
        <f t="array" ref="F602">SUM(F603+F616:F617+F620)</f>
        <v>47447</v>
      </c>
      <c r="G602" s="28">
        <f t="array" ref="G602">SUM(G603+G616:G617+G620)</f>
        <v>52058</v>
      </c>
      <c r="H602" s="28">
        <f t="array" ref="H602">SUM(H603+H616:H617+H620)</f>
        <v>44558</v>
      </c>
      <c r="I602" s="28">
        <f t="array" ref="I602">SUM(I603+I616:I617+I620)</f>
        <v>40034</v>
      </c>
      <c r="J602" s="28">
        <f t="array" ref="J602">SUM(J603+J616:J617+J620)</f>
        <v>46424</v>
      </c>
      <c r="K602" s="28">
        <f t="array" ref="K602">SUM(K603+K616:K617+K620)</f>
        <v>53475</v>
      </c>
      <c r="L602" s="28">
        <f t="array" ref="L602">SUM(L603+L616:L617+L620)</f>
        <v>56601</v>
      </c>
      <c r="M602" s="28">
        <f t="array" ref="M602">SUM(M603+M616:M617+M620)</f>
        <v>57336</v>
      </c>
      <c r="N602" s="28">
        <f t="array" ref="N602">SUM(N603+N616:N617+N620)</f>
        <v>52128</v>
      </c>
      <c r="O602" s="28">
        <f t="array" ref="O602">SUM(O603+O616:O617+O620)</f>
        <v>46101</v>
      </c>
      <c r="P602" s="28">
        <f t="array" ref="P602">SUM(P603+P616:P617+P620)</f>
        <v>43954</v>
      </c>
      <c r="Q602" s="28">
        <f t="array" ref="Q602">SUM(Q603+Q616:Q617+Q620)</f>
        <v>46948</v>
      </c>
      <c r="R602" s="28">
        <f t="array" ref="R602">SUM(R603+R616:R617+R620)</f>
        <v>79784</v>
      </c>
      <c r="S602" s="28">
        <f t="array" ref="S602">SUM(S603+S616:S617+S620)</f>
        <v>72432</v>
      </c>
      <c r="T602" s="28">
        <f t="array" ref="T602">SUM(T603+T616:T617+T620)</f>
        <v>70827</v>
      </c>
      <c r="U602" s="28">
        <f t="array" ref="U602">SUM(U603+U616:U617+U620)</f>
        <v>83579</v>
      </c>
      <c r="V602" s="28">
        <f t="array" ref="V602">SUM(V603+V616:V617+V620)</f>
        <v>143529</v>
      </c>
    </row>
    <row r="603" spans="1:22" ht="63.75" x14ac:dyDescent="0.2">
      <c r="A603" s="28" t="s">
        <v>600</v>
      </c>
      <c r="B603" s="28" t="s">
        <v>603</v>
      </c>
      <c r="C603" s="28">
        <f t="shared" ref="C603:V603" si="201">SUM(C604:C614)</f>
        <v>16084</v>
      </c>
      <c r="D603" s="28">
        <f t="shared" si="201"/>
        <v>20767</v>
      </c>
      <c r="E603" s="28">
        <f t="shared" si="201"/>
        <v>18326</v>
      </c>
      <c r="F603" s="28">
        <f t="shared" si="201"/>
        <v>21305</v>
      </c>
      <c r="G603" s="28">
        <f t="shared" si="201"/>
        <v>22600</v>
      </c>
      <c r="H603" s="28">
        <f t="shared" si="201"/>
        <v>18819</v>
      </c>
      <c r="I603" s="28">
        <f t="shared" si="201"/>
        <v>16798</v>
      </c>
      <c r="J603" s="28">
        <f t="shared" si="201"/>
        <v>20425</v>
      </c>
      <c r="K603" s="28">
        <f t="shared" si="201"/>
        <v>24279</v>
      </c>
      <c r="L603" s="28">
        <f t="shared" si="201"/>
        <v>25485</v>
      </c>
      <c r="M603" s="28">
        <f t="shared" si="201"/>
        <v>25923</v>
      </c>
      <c r="N603" s="28">
        <f t="shared" si="201"/>
        <v>23377</v>
      </c>
      <c r="O603" s="28">
        <f t="shared" si="201"/>
        <v>20632</v>
      </c>
      <c r="P603" s="28">
        <f t="shared" si="201"/>
        <v>19799</v>
      </c>
      <c r="Q603" s="28">
        <f t="shared" si="201"/>
        <v>21279</v>
      </c>
      <c r="R603" s="28">
        <f t="shared" si="201"/>
        <v>37583</v>
      </c>
      <c r="S603" s="28">
        <f t="shared" si="201"/>
        <v>34267</v>
      </c>
      <c r="T603" s="28">
        <f t="shared" si="201"/>
        <v>32804</v>
      </c>
      <c r="U603" s="28">
        <f t="shared" si="201"/>
        <v>39588</v>
      </c>
      <c r="V603" s="28">
        <f t="shared" si="201"/>
        <v>69586</v>
      </c>
    </row>
    <row r="604" spans="1:22" ht="51" x14ac:dyDescent="0.2">
      <c r="A604" s="28" t="s">
        <v>600</v>
      </c>
      <c r="B604" s="28" t="s">
        <v>604</v>
      </c>
      <c r="C604" s="28">
        <v>3714</v>
      </c>
      <c r="D604" s="28">
        <v>3513</v>
      </c>
      <c r="E604" s="28">
        <v>3368</v>
      </c>
      <c r="F604" s="28">
        <v>3869</v>
      </c>
      <c r="G604" s="28">
        <v>3813</v>
      </c>
      <c r="H604" s="28">
        <v>3555</v>
      </c>
      <c r="I604" s="28">
        <v>3626</v>
      </c>
      <c r="J604" s="28">
        <v>3649</v>
      </c>
      <c r="K604" s="28">
        <v>4157</v>
      </c>
      <c r="L604" s="28">
        <v>5194</v>
      </c>
      <c r="M604" s="28">
        <v>4324</v>
      </c>
      <c r="N604" s="28">
        <v>3993</v>
      </c>
      <c r="O604" s="28">
        <v>4243</v>
      </c>
      <c r="P604" s="28">
        <v>2640</v>
      </c>
      <c r="Q604" s="28">
        <v>2956</v>
      </c>
      <c r="R604" s="28">
        <v>3211</v>
      </c>
      <c r="S604" s="28">
        <v>2793</v>
      </c>
      <c r="T604" s="28">
        <v>2800</v>
      </c>
      <c r="U604" s="28">
        <v>3714</v>
      </c>
      <c r="V604" s="28">
        <v>4045</v>
      </c>
    </row>
    <row r="605" spans="1:22" ht="51" x14ac:dyDescent="0.2">
      <c r="A605" s="28" t="s">
        <v>600</v>
      </c>
      <c r="B605" s="28" t="s">
        <v>605</v>
      </c>
      <c r="C605" s="28">
        <v>0</v>
      </c>
      <c r="D605" s="28">
        <v>0</v>
      </c>
      <c r="E605" s="28">
        <v>0</v>
      </c>
      <c r="F605" s="28">
        <v>0</v>
      </c>
      <c r="G605" s="28">
        <v>0</v>
      </c>
      <c r="H605" s="28">
        <v>0</v>
      </c>
      <c r="I605" s="28">
        <v>0</v>
      </c>
      <c r="J605" s="28">
        <v>0</v>
      </c>
      <c r="K605" s="28">
        <v>0</v>
      </c>
      <c r="L605" s="28">
        <v>0</v>
      </c>
      <c r="M605" s="28">
        <v>0</v>
      </c>
      <c r="N605" s="28">
        <v>0</v>
      </c>
      <c r="O605" s="28">
        <v>0</v>
      </c>
      <c r="P605" s="28">
        <v>720</v>
      </c>
      <c r="Q605" s="28">
        <v>673</v>
      </c>
      <c r="R605" s="28">
        <v>905</v>
      </c>
      <c r="S605" s="28">
        <v>667</v>
      </c>
      <c r="T605" s="28">
        <v>683</v>
      </c>
      <c r="U605" s="28">
        <v>7882</v>
      </c>
      <c r="V605" s="28">
        <f>36259+191</f>
        <v>36450</v>
      </c>
    </row>
    <row r="606" spans="1:22" ht="51" x14ac:dyDescent="0.2">
      <c r="A606" s="28" t="s">
        <v>600</v>
      </c>
      <c r="B606" s="28" t="s">
        <v>606</v>
      </c>
      <c r="C606" s="28">
        <v>0</v>
      </c>
      <c r="D606" s="28">
        <v>115</v>
      </c>
      <c r="E606" s="28">
        <v>192</v>
      </c>
      <c r="F606" s="28">
        <v>154</v>
      </c>
      <c r="G606" s="28">
        <v>142</v>
      </c>
      <c r="H606" s="28">
        <v>220</v>
      </c>
      <c r="I606" s="28">
        <v>188</v>
      </c>
      <c r="J606" s="28">
        <v>135</v>
      </c>
      <c r="K606" s="28">
        <v>202</v>
      </c>
      <c r="L606" s="28">
        <v>282</v>
      </c>
      <c r="M606" s="28">
        <v>212</v>
      </c>
      <c r="N606" s="28">
        <v>245</v>
      </c>
      <c r="O606" s="28">
        <v>253</v>
      </c>
      <c r="P606" s="28">
        <v>332</v>
      </c>
      <c r="Q606" s="28">
        <v>454</v>
      </c>
      <c r="R606" s="28">
        <v>384</v>
      </c>
      <c r="S606" s="28">
        <v>337</v>
      </c>
      <c r="T606" s="28">
        <v>330</v>
      </c>
      <c r="U606" s="28">
        <v>188</v>
      </c>
      <c r="V606" s="28">
        <v>133</v>
      </c>
    </row>
    <row r="607" spans="1:22" ht="51" x14ac:dyDescent="0.2">
      <c r="A607" s="28" t="s">
        <v>600</v>
      </c>
      <c r="B607" s="28" t="s">
        <v>607</v>
      </c>
      <c r="C607" s="28">
        <v>718</v>
      </c>
      <c r="D607" s="28">
        <v>763</v>
      </c>
      <c r="E607" s="28">
        <v>675</v>
      </c>
      <c r="F607" s="28">
        <v>796</v>
      </c>
      <c r="G607" s="28">
        <v>922</v>
      </c>
      <c r="H607" s="28">
        <v>877</v>
      </c>
      <c r="I607" s="28">
        <v>868</v>
      </c>
      <c r="J607" s="28">
        <v>974</v>
      </c>
      <c r="K607" s="28">
        <v>848</v>
      </c>
      <c r="L607" s="28">
        <v>964</v>
      </c>
      <c r="M607" s="28">
        <v>837</v>
      </c>
      <c r="N607" s="28">
        <v>809</v>
      </c>
      <c r="O607" s="28">
        <v>1057</v>
      </c>
      <c r="P607" s="28">
        <v>985</v>
      </c>
      <c r="Q607" s="28">
        <v>959</v>
      </c>
      <c r="R607" s="28">
        <v>1254</v>
      </c>
      <c r="S607" s="28">
        <v>1339</v>
      </c>
      <c r="T607" s="28">
        <v>1359</v>
      </c>
      <c r="U607" s="28">
        <v>1256</v>
      </c>
      <c r="V607" s="28">
        <v>1266</v>
      </c>
    </row>
    <row r="608" spans="1:22" ht="76.5" x14ac:dyDescent="0.2">
      <c r="A608" s="28" t="s">
        <v>600</v>
      </c>
      <c r="B608" s="28" t="s">
        <v>608</v>
      </c>
      <c r="C608" s="28">
        <v>328</v>
      </c>
      <c r="D608" s="28">
        <v>627</v>
      </c>
      <c r="E608" s="28">
        <v>353</v>
      </c>
      <c r="F608" s="28">
        <v>288</v>
      </c>
      <c r="G608" s="28">
        <v>545</v>
      </c>
      <c r="H608" s="28">
        <v>221</v>
      </c>
      <c r="I608" s="28">
        <v>302</v>
      </c>
      <c r="J608" s="28">
        <v>289</v>
      </c>
      <c r="K608" s="28">
        <v>518</v>
      </c>
      <c r="L608" s="28">
        <v>237</v>
      </c>
      <c r="M608" s="28">
        <v>331</v>
      </c>
      <c r="N608" s="28">
        <v>377</v>
      </c>
      <c r="O608" s="28">
        <v>640</v>
      </c>
      <c r="P608" s="28">
        <v>428</v>
      </c>
      <c r="Q608" s="28">
        <v>505</v>
      </c>
      <c r="R608" s="28">
        <v>584</v>
      </c>
      <c r="S608" s="28">
        <v>640</v>
      </c>
      <c r="T608" s="28">
        <v>775</v>
      </c>
      <c r="U608" s="28">
        <v>756</v>
      </c>
      <c r="V608" s="28">
        <v>754</v>
      </c>
    </row>
    <row r="609" spans="1:22" ht="51" x14ac:dyDescent="0.2">
      <c r="A609" s="28" t="s">
        <v>600</v>
      </c>
      <c r="B609" s="28" t="s">
        <v>609</v>
      </c>
      <c r="C609" s="28">
        <v>1291</v>
      </c>
      <c r="D609" s="28">
        <v>1079</v>
      </c>
      <c r="E609" s="28">
        <v>901</v>
      </c>
      <c r="F609" s="28">
        <v>852</v>
      </c>
      <c r="G609" s="28">
        <v>1019</v>
      </c>
      <c r="H609" s="28">
        <v>857</v>
      </c>
      <c r="I609" s="28">
        <v>1034</v>
      </c>
      <c r="J609" s="28">
        <v>1183</v>
      </c>
      <c r="K609" s="28">
        <v>822</v>
      </c>
      <c r="L609" s="28">
        <v>1185</v>
      </c>
      <c r="M609" s="28">
        <v>1506</v>
      </c>
      <c r="N609" s="28">
        <v>1727</v>
      </c>
      <c r="O609" s="28">
        <v>1752</v>
      </c>
      <c r="P609" s="28">
        <v>1701</v>
      </c>
      <c r="Q609" s="28">
        <v>1919</v>
      </c>
      <c r="R609" s="28">
        <v>3967</v>
      </c>
      <c r="S609" s="28">
        <v>2054</v>
      </c>
      <c r="T609" s="28">
        <v>1954</v>
      </c>
      <c r="U609" s="28">
        <v>981</v>
      </c>
      <c r="V609" s="28">
        <v>764</v>
      </c>
    </row>
    <row r="610" spans="1:22" ht="63.75" x14ac:dyDescent="0.2">
      <c r="A610" s="28" t="s">
        <v>600</v>
      </c>
      <c r="B610" s="28" t="s">
        <v>610</v>
      </c>
      <c r="C610" s="28">
        <v>2496</v>
      </c>
      <c r="D610" s="28">
        <v>2117</v>
      </c>
      <c r="E610" s="28">
        <v>2278</v>
      </c>
      <c r="F610" s="28">
        <v>2340</v>
      </c>
      <c r="G610" s="28">
        <v>2764</v>
      </c>
      <c r="H610" s="28">
        <v>2646</v>
      </c>
      <c r="I610" s="28">
        <v>2587</v>
      </c>
      <c r="J610" s="28">
        <v>2716</v>
      </c>
      <c r="K610" s="28">
        <v>3017</v>
      </c>
      <c r="L610" s="28">
        <v>3158</v>
      </c>
      <c r="M610" s="28">
        <v>2946</v>
      </c>
      <c r="N610" s="28">
        <v>2471</v>
      </c>
      <c r="O610" s="28">
        <v>2412</v>
      </c>
      <c r="P610" s="28">
        <v>2943</v>
      </c>
      <c r="Q610" s="28">
        <v>2400</v>
      </c>
      <c r="R610" s="28">
        <v>2272</v>
      </c>
      <c r="S610" s="28">
        <v>2213</v>
      </c>
      <c r="T610" s="28">
        <v>1876</v>
      </c>
      <c r="U610" s="28">
        <v>2052</v>
      </c>
      <c r="V610" s="28">
        <v>2327</v>
      </c>
    </row>
    <row r="611" spans="1:22" ht="51" x14ac:dyDescent="0.2">
      <c r="A611" s="28" t="s">
        <v>600</v>
      </c>
      <c r="B611" s="28" t="s">
        <v>611</v>
      </c>
      <c r="C611" s="28">
        <v>5230</v>
      </c>
      <c r="D611" s="28">
        <v>7896</v>
      </c>
      <c r="E611" s="28">
        <v>7110</v>
      </c>
      <c r="F611" s="28">
        <v>9492</v>
      </c>
      <c r="G611" s="28">
        <v>9191</v>
      </c>
      <c r="H611" s="28">
        <v>5858</v>
      </c>
      <c r="I611" s="28">
        <v>3644</v>
      </c>
      <c r="J611" s="28">
        <v>4267</v>
      </c>
      <c r="K611" s="28">
        <v>3983</v>
      </c>
      <c r="L611" s="28">
        <v>3901</v>
      </c>
      <c r="M611" s="28">
        <v>3826</v>
      </c>
      <c r="N611" s="28">
        <v>3440</v>
      </c>
      <c r="O611" s="28">
        <v>3447</v>
      </c>
      <c r="P611" s="28">
        <v>3575</v>
      </c>
      <c r="Q611" s="28">
        <v>3734</v>
      </c>
      <c r="R611" s="28">
        <v>4374</v>
      </c>
      <c r="S611" s="28">
        <v>4780</v>
      </c>
      <c r="T611" s="28">
        <v>5027</v>
      </c>
      <c r="U611" s="28">
        <v>4590</v>
      </c>
      <c r="V611" s="28">
        <v>4575</v>
      </c>
    </row>
    <row r="612" spans="1:22" ht="63.75" x14ac:dyDescent="0.2">
      <c r="A612" s="28" t="s">
        <v>600</v>
      </c>
      <c r="B612" s="28" t="s">
        <v>612</v>
      </c>
      <c r="C612" s="28">
        <v>1718</v>
      </c>
      <c r="D612" s="28">
        <v>1984</v>
      </c>
      <c r="E612" s="28">
        <v>2193</v>
      </c>
      <c r="F612" s="28">
        <v>2220</v>
      </c>
      <c r="G612" s="28">
        <v>2439</v>
      </c>
      <c r="H612" s="28">
        <v>2942</v>
      </c>
      <c r="I612" s="28">
        <v>2650</v>
      </c>
      <c r="J612" s="28">
        <v>2642</v>
      </c>
      <c r="K612" s="28">
        <v>2638</v>
      </c>
      <c r="L612" s="28">
        <v>2852</v>
      </c>
      <c r="M612" s="28">
        <v>3099</v>
      </c>
      <c r="N612" s="28">
        <v>3388</v>
      </c>
      <c r="O612" s="28">
        <v>3695</v>
      </c>
      <c r="P612" s="28">
        <v>4273</v>
      </c>
      <c r="Q612" s="28">
        <v>4674</v>
      </c>
      <c r="R612" s="28">
        <v>5490</v>
      </c>
      <c r="S612" s="28">
        <v>5342</v>
      </c>
      <c r="T612" s="28">
        <v>5307</v>
      </c>
      <c r="U612" s="28">
        <v>5232</v>
      </c>
      <c r="V612" s="28">
        <v>5860</v>
      </c>
    </row>
    <row r="613" spans="1:22" ht="63.75" x14ac:dyDescent="0.2">
      <c r="A613" s="28" t="s">
        <v>600</v>
      </c>
      <c r="B613" s="28" t="s">
        <v>613</v>
      </c>
      <c r="C613" s="28">
        <v>585</v>
      </c>
      <c r="D613" s="28">
        <v>2659</v>
      </c>
      <c r="E613" s="28">
        <v>1226</v>
      </c>
      <c r="F613" s="28">
        <v>1226</v>
      </c>
      <c r="G613" s="28">
        <v>1719</v>
      </c>
      <c r="H613" s="28">
        <v>1610</v>
      </c>
      <c r="I613" s="28">
        <v>1864</v>
      </c>
      <c r="J613" s="28">
        <v>4551</v>
      </c>
      <c r="K613" s="28">
        <v>8085</v>
      </c>
      <c r="L613" s="28">
        <v>7701</v>
      </c>
      <c r="M613" s="28">
        <v>8559</v>
      </c>
      <c r="N613" s="28">
        <v>6527</v>
      </c>
      <c r="O613" s="28">
        <v>3125</v>
      </c>
      <c r="P613" s="28">
        <v>2190</v>
      </c>
      <c r="Q613" s="28">
        <v>2964</v>
      </c>
      <c r="R613" s="28">
        <f>3304+11803</f>
        <v>15107</v>
      </c>
      <c r="S613" s="28">
        <f>2845+11235</f>
        <v>14080</v>
      </c>
      <c r="T613" s="28">
        <f>2319+10339</f>
        <v>12658</v>
      </c>
      <c r="U613" s="28">
        <f>2303+10612</f>
        <v>12915</v>
      </c>
      <c r="V613" s="28">
        <f>2269+11111</f>
        <v>13380</v>
      </c>
    </row>
    <row r="614" spans="1:22" ht="51" x14ac:dyDescent="0.2">
      <c r="A614" s="28" t="s">
        <v>600</v>
      </c>
      <c r="B614" s="28" t="s">
        <v>614</v>
      </c>
      <c r="C614" s="28">
        <v>4</v>
      </c>
      <c r="D614" s="28">
        <v>14</v>
      </c>
      <c r="E614" s="28">
        <v>30</v>
      </c>
      <c r="F614" s="28">
        <v>68</v>
      </c>
      <c r="G614" s="28">
        <v>46</v>
      </c>
      <c r="H614" s="28">
        <v>33</v>
      </c>
      <c r="I614" s="28">
        <v>35</v>
      </c>
      <c r="J614" s="28">
        <v>19</v>
      </c>
      <c r="K614" s="28">
        <v>9</v>
      </c>
      <c r="L614" s="28">
        <v>11</v>
      </c>
      <c r="M614" s="28">
        <v>283</v>
      </c>
      <c r="N614" s="28">
        <v>400</v>
      </c>
      <c r="O614" s="28">
        <v>8</v>
      </c>
      <c r="P614" s="28">
        <v>12</v>
      </c>
      <c r="Q614" s="28">
        <v>41</v>
      </c>
      <c r="R614" s="28">
        <v>35</v>
      </c>
      <c r="S614" s="28">
        <f>19+3</f>
        <v>22</v>
      </c>
      <c r="T614" s="28">
        <f>34+1</f>
        <v>35</v>
      </c>
      <c r="U614" s="28">
        <v>22</v>
      </c>
      <c r="V614" s="28">
        <v>32</v>
      </c>
    </row>
    <row r="615" spans="1:22" ht="63.75" x14ac:dyDescent="0.2">
      <c r="A615" s="28" t="s">
        <v>600</v>
      </c>
      <c r="B615" s="28" t="s">
        <v>615</v>
      </c>
      <c r="C615" s="28">
        <f t="shared" ref="C615:V615" si="202">SUM(C616:C618)</f>
        <v>21796</v>
      </c>
      <c r="D615" s="28">
        <f t="shared" si="202"/>
        <v>19919</v>
      </c>
      <c r="E615" s="28">
        <f t="shared" si="202"/>
        <v>17493</v>
      </c>
      <c r="F615" s="28">
        <f t="shared" si="202"/>
        <v>16411</v>
      </c>
      <c r="G615" s="28">
        <f t="shared" si="202"/>
        <v>19761</v>
      </c>
      <c r="H615" s="28">
        <f t="shared" si="202"/>
        <v>20180</v>
      </c>
      <c r="I615" s="28">
        <f t="shared" si="202"/>
        <v>19442</v>
      </c>
      <c r="J615" s="28">
        <f t="shared" si="202"/>
        <v>17862</v>
      </c>
      <c r="K615" s="28">
        <f t="shared" si="202"/>
        <v>16870</v>
      </c>
      <c r="L615" s="28">
        <f t="shared" si="202"/>
        <v>19065</v>
      </c>
      <c r="M615" s="28">
        <f t="shared" si="202"/>
        <v>19028</v>
      </c>
      <c r="N615" s="28">
        <f t="shared" si="202"/>
        <v>18299</v>
      </c>
      <c r="O615" s="28">
        <f t="shared" si="202"/>
        <v>16449</v>
      </c>
      <c r="P615" s="28">
        <f t="shared" si="202"/>
        <v>16341</v>
      </c>
      <c r="Q615" s="28">
        <f t="shared" si="202"/>
        <v>16253</v>
      </c>
      <c r="R615" s="28">
        <f t="shared" si="202"/>
        <v>14519</v>
      </c>
      <c r="S615" s="28">
        <f t="shared" si="202"/>
        <v>12571</v>
      </c>
      <c r="T615" s="28">
        <f t="shared" si="202"/>
        <v>14588</v>
      </c>
      <c r="U615" s="28">
        <f t="shared" si="202"/>
        <v>14458</v>
      </c>
      <c r="V615" s="28">
        <f t="shared" si="202"/>
        <v>16197</v>
      </c>
    </row>
    <row r="616" spans="1:22" ht="51" x14ac:dyDescent="0.2">
      <c r="A616" s="28" t="s">
        <v>600</v>
      </c>
      <c r="B616" s="28" t="s">
        <v>616</v>
      </c>
      <c r="C616" s="28">
        <v>221</v>
      </c>
      <c r="D616" s="28">
        <v>144</v>
      </c>
      <c r="E616" s="28">
        <v>198</v>
      </c>
      <c r="F616" s="28">
        <v>141</v>
      </c>
      <c r="G616" s="28">
        <v>142</v>
      </c>
      <c r="H616" s="28">
        <v>247</v>
      </c>
      <c r="I616" s="28">
        <v>157</v>
      </c>
      <c r="J616" s="28">
        <v>234</v>
      </c>
      <c r="K616" s="28">
        <v>152</v>
      </c>
      <c r="L616" s="28">
        <v>221</v>
      </c>
      <c r="M616" s="28">
        <v>465</v>
      </c>
      <c r="N616" s="28">
        <v>313</v>
      </c>
      <c r="O616" s="28">
        <v>952</v>
      </c>
      <c r="P616" s="28">
        <v>823</v>
      </c>
      <c r="Q616" s="28">
        <v>1182</v>
      </c>
      <c r="R616" s="28">
        <v>1123</v>
      </c>
      <c r="S616" s="28">
        <v>1039</v>
      </c>
      <c r="T616" s="28">
        <v>1938</v>
      </c>
      <c r="U616" s="28">
        <v>1828</v>
      </c>
      <c r="V616" s="28">
        <v>1404</v>
      </c>
    </row>
    <row r="617" spans="1:22" ht="51" x14ac:dyDescent="0.2">
      <c r="A617" s="28" t="s">
        <v>600</v>
      </c>
      <c r="B617" s="28" t="s">
        <v>617</v>
      </c>
      <c r="C617" s="28">
        <v>5036</v>
      </c>
      <c r="D617" s="28">
        <v>5017</v>
      </c>
      <c r="E617" s="28">
        <v>5012</v>
      </c>
      <c r="F617" s="28">
        <v>4350</v>
      </c>
      <c r="G617" s="28">
        <v>6328</v>
      </c>
      <c r="H617" s="28">
        <v>6189</v>
      </c>
      <c r="I617" s="28">
        <v>5765</v>
      </c>
      <c r="J617" s="28">
        <v>4724</v>
      </c>
      <c r="K617" s="28">
        <v>4297</v>
      </c>
      <c r="L617" s="28">
        <v>4864</v>
      </c>
      <c r="M617" s="28">
        <v>4555</v>
      </c>
      <c r="N617" s="28">
        <v>4629</v>
      </c>
      <c r="O617" s="28">
        <v>3583</v>
      </c>
      <c r="P617" s="28">
        <v>3125</v>
      </c>
      <c r="Q617" s="28">
        <v>2794</v>
      </c>
      <c r="R617" s="28">
        <v>2765</v>
      </c>
      <c r="S617" s="28">
        <v>2407</v>
      </c>
      <c r="T617" s="28">
        <v>2161</v>
      </c>
      <c r="U617" s="28">
        <v>2161</v>
      </c>
      <c r="V617" s="28">
        <v>2597</v>
      </c>
    </row>
    <row r="618" spans="1:22" s="7" customFormat="1" ht="51" x14ac:dyDescent="0.2">
      <c r="A618" s="28" t="s">
        <v>600</v>
      </c>
      <c r="B618" s="28" t="s">
        <v>618</v>
      </c>
      <c r="C618" s="28">
        <v>16539</v>
      </c>
      <c r="D618" s="28">
        <v>14758</v>
      </c>
      <c r="E618" s="28">
        <v>12283</v>
      </c>
      <c r="F618" s="28">
        <v>11920</v>
      </c>
      <c r="G618" s="28">
        <v>13291</v>
      </c>
      <c r="H618" s="28">
        <v>13744</v>
      </c>
      <c r="I618" s="28">
        <v>13520</v>
      </c>
      <c r="J618" s="28">
        <v>12904</v>
      </c>
      <c r="K618" s="28">
        <v>12421</v>
      </c>
      <c r="L618" s="28">
        <v>13980</v>
      </c>
      <c r="M618" s="28">
        <v>14008</v>
      </c>
      <c r="N618" s="28">
        <v>13357</v>
      </c>
      <c r="O618" s="28">
        <v>11914</v>
      </c>
      <c r="P618" s="28">
        <v>12393</v>
      </c>
      <c r="Q618" s="28">
        <v>12277</v>
      </c>
      <c r="R618" s="28">
        <f>10279+352</f>
        <v>10631</v>
      </c>
      <c r="S618" s="28">
        <f>8830+50+245</f>
        <v>9125</v>
      </c>
      <c r="T618" s="28">
        <f>9890+73+343+183</f>
        <v>10489</v>
      </c>
      <c r="U618" s="28">
        <f>10322+147</f>
        <v>10469</v>
      </c>
      <c r="V618" s="28">
        <f>9188+22+2781+205</f>
        <v>12196</v>
      </c>
    </row>
    <row r="619" spans="1:22" ht="51" x14ac:dyDescent="0.2">
      <c r="A619" s="28" t="s">
        <v>600</v>
      </c>
      <c r="B619" s="28" t="s">
        <v>619</v>
      </c>
      <c r="C619" s="28">
        <f t="shared" ref="C619:V619" si="203">SUM(C620:C621)</f>
        <v>691</v>
      </c>
      <c r="D619" s="28">
        <f t="shared" si="203"/>
        <v>878</v>
      </c>
      <c r="E619" s="28">
        <f t="shared" si="203"/>
        <v>810</v>
      </c>
      <c r="F619" s="28">
        <f t="shared" si="203"/>
        <v>846</v>
      </c>
      <c r="G619" s="28">
        <f t="shared" si="203"/>
        <v>851</v>
      </c>
      <c r="H619" s="28">
        <f t="shared" si="203"/>
        <v>904</v>
      </c>
      <c r="I619" s="28">
        <f t="shared" si="203"/>
        <v>824</v>
      </c>
      <c r="J619" s="28">
        <f t="shared" si="203"/>
        <v>816</v>
      </c>
      <c r="K619" s="28">
        <f t="shared" si="203"/>
        <v>720</v>
      </c>
      <c r="L619" s="28">
        <f t="shared" si="203"/>
        <v>767</v>
      </c>
      <c r="M619" s="28">
        <f t="shared" si="203"/>
        <v>752</v>
      </c>
      <c r="N619" s="28">
        <f t="shared" si="203"/>
        <v>670</v>
      </c>
      <c r="O619" s="28">
        <f t="shared" si="203"/>
        <v>602</v>
      </c>
      <c r="P619" s="28">
        <f t="shared" si="203"/>
        <v>775</v>
      </c>
      <c r="Q619" s="28">
        <f t="shared" si="203"/>
        <v>712</v>
      </c>
      <c r="R619" s="28">
        <f t="shared" si="203"/>
        <v>785</v>
      </c>
      <c r="S619" s="28">
        <f t="shared" si="203"/>
        <v>841</v>
      </c>
      <c r="T619" s="28">
        <f t="shared" si="203"/>
        <v>1514</v>
      </c>
      <c r="U619" s="28">
        <f t="shared" si="203"/>
        <v>1040</v>
      </c>
      <c r="V619" s="28">
        <f t="shared" si="203"/>
        <v>1257</v>
      </c>
    </row>
    <row r="620" spans="1:22" ht="63.75" x14ac:dyDescent="0.2">
      <c r="A620" s="28" t="s">
        <v>600</v>
      </c>
      <c r="B620" s="28" t="s">
        <v>620</v>
      </c>
      <c r="C620" s="28">
        <v>198</v>
      </c>
      <c r="D620" s="28">
        <v>226</v>
      </c>
      <c r="E620" s="28">
        <v>192</v>
      </c>
      <c r="F620" s="28">
        <v>173</v>
      </c>
      <c r="G620" s="28">
        <v>194</v>
      </c>
      <c r="H620" s="28">
        <v>242</v>
      </c>
      <c r="I620" s="28">
        <v>258</v>
      </c>
      <c r="J620" s="28">
        <v>308</v>
      </c>
      <c r="K620" s="28">
        <v>234</v>
      </c>
      <c r="L620" s="28">
        <v>273</v>
      </c>
      <c r="M620" s="28">
        <v>235</v>
      </c>
      <c r="N620" s="28">
        <v>216</v>
      </c>
      <c r="O620" s="28">
        <v>151</v>
      </c>
      <c r="P620" s="28">
        <v>204</v>
      </c>
      <c r="Q620" s="28">
        <v>207</v>
      </c>
      <c r="R620" s="28">
        <v>365</v>
      </c>
      <c r="S620" s="28">
        <v>226</v>
      </c>
      <c r="T620" s="28">
        <v>560</v>
      </c>
      <c r="U620" s="28">
        <v>207</v>
      </c>
      <c r="V620" s="28">
        <v>178</v>
      </c>
    </row>
    <row r="621" spans="1:22" ht="63.75" x14ac:dyDescent="0.2">
      <c r="A621" s="28" t="s">
        <v>600</v>
      </c>
      <c r="B621" s="28" t="s">
        <v>621</v>
      </c>
      <c r="C621" s="28">
        <v>493</v>
      </c>
      <c r="D621" s="28">
        <v>652</v>
      </c>
      <c r="E621" s="28">
        <v>618</v>
      </c>
      <c r="F621" s="28">
        <v>673</v>
      </c>
      <c r="G621" s="28">
        <v>657</v>
      </c>
      <c r="H621" s="28">
        <v>662</v>
      </c>
      <c r="I621" s="28">
        <v>566</v>
      </c>
      <c r="J621" s="28">
        <v>508</v>
      </c>
      <c r="K621" s="28">
        <v>486</v>
      </c>
      <c r="L621" s="28">
        <v>494</v>
      </c>
      <c r="M621" s="28">
        <v>517</v>
      </c>
      <c r="N621" s="28">
        <v>454</v>
      </c>
      <c r="O621" s="28">
        <v>451</v>
      </c>
      <c r="P621" s="28">
        <v>571</v>
      </c>
      <c r="Q621" s="28">
        <v>505</v>
      </c>
      <c r="R621" s="28">
        <v>420</v>
      </c>
      <c r="S621" s="28">
        <v>615</v>
      </c>
      <c r="T621" s="28">
        <v>954</v>
      </c>
      <c r="U621" s="28">
        <v>833</v>
      </c>
      <c r="V621" s="28">
        <v>1079</v>
      </c>
    </row>
    <row r="622" spans="1:22" ht="38.25" x14ac:dyDescent="0.2">
      <c r="A622" s="28" t="s">
        <v>600</v>
      </c>
      <c r="B622" s="28" t="s">
        <v>622</v>
      </c>
      <c r="C622" s="28">
        <f t="shared" ref="C622:V622" si="204">SUM(C623:C633)</f>
        <v>191</v>
      </c>
      <c r="D622" s="28">
        <f t="shared" si="204"/>
        <v>51</v>
      </c>
      <c r="E622" s="28">
        <f t="shared" si="204"/>
        <v>50</v>
      </c>
      <c r="F622" s="28">
        <f t="shared" si="204"/>
        <v>51</v>
      </c>
      <c r="G622" s="28">
        <f t="shared" si="204"/>
        <v>28</v>
      </c>
      <c r="H622" s="28">
        <f t="shared" si="204"/>
        <v>76</v>
      </c>
      <c r="I622" s="28">
        <f t="shared" si="204"/>
        <v>92</v>
      </c>
      <c r="J622" s="28">
        <f t="shared" si="204"/>
        <v>51</v>
      </c>
      <c r="K622" s="28">
        <f t="shared" si="204"/>
        <v>85</v>
      </c>
      <c r="L622" s="28">
        <f t="shared" si="204"/>
        <v>37</v>
      </c>
      <c r="M622" s="28">
        <f t="shared" si="204"/>
        <v>133</v>
      </c>
      <c r="N622" s="28">
        <f t="shared" si="204"/>
        <v>19</v>
      </c>
      <c r="O622" s="28">
        <f t="shared" si="204"/>
        <v>50</v>
      </c>
      <c r="P622" s="28">
        <f t="shared" si="204"/>
        <v>49</v>
      </c>
      <c r="Q622" s="28">
        <f t="shared" si="204"/>
        <v>20</v>
      </c>
      <c r="R622" s="28">
        <f t="shared" si="204"/>
        <v>72</v>
      </c>
      <c r="S622" s="28">
        <f t="shared" si="204"/>
        <v>58</v>
      </c>
      <c r="T622" s="28">
        <f t="shared" si="204"/>
        <v>410</v>
      </c>
      <c r="U622" s="28">
        <f t="shared" si="204"/>
        <v>145</v>
      </c>
      <c r="V622" s="28">
        <f t="shared" si="204"/>
        <v>144</v>
      </c>
    </row>
    <row r="623" spans="1:22" ht="63.75" x14ac:dyDescent="0.2">
      <c r="A623" s="28" t="s">
        <v>600</v>
      </c>
      <c r="B623" s="28" t="s">
        <v>623</v>
      </c>
      <c r="C623" s="28">
        <v>0</v>
      </c>
      <c r="D623" s="28">
        <v>0</v>
      </c>
      <c r="E623" s="28">
        <v>0</v>
      </c>
      <c r="F623" s="28">
        <v>0</v>
      </c>
      <c r="G623" s="28">
        <v>0</v>
      </c>
      <c r="H623" s="28">
        <v>0</v>
      </c>
      <c r="I623" s="28">
        <v>0</v>
      </c>
      <c r="J623" s="28">
        <v>0</v>
      </c>
      <c r="K623" s="28">
        <v>0</v>
      </c>
      <c r="L623" s="28">
        <v>0</v>
      </c>
      <c r="M623" s="28">
        <v>0</v>
      </c>
      <c r="N623" s="28">
        <v>0</v>
      </c>
      <c r="O623" s="28">
        <v>0</v>
      </c>
      <c r="P623" s="28">
        <v>22</v>
      </c>
      <c r="Q623" s="28">
        <v>10</v>
      </c>
      <c r="R623" s="28">
        <v>43</v>
      </c>
      <c r="S623" s="28">
        <v>26</v>
      </c>
      <c r="T623" s="28">
        <v>11</v>
      </c>
      <c r="U623" s="28">
        <v>21</v>
      </c>
      <c r="V623" s="28">
        <v>18</v>
      </c>
    </row>
    <row r="624" spans="1:22" ht="63.75" x14ac:dyDescent="0.2">
      <c r="A624" s="28" t="s">
        <v>600</v>
      </c>
      <c r="B624" s="28" t="s">
        <v>624</v>
      </c>
      <c r="C624" s="28"/>
      <c r="D624" s="28"/>
      <c r="E624" s="28"/>
      <c r="F624" s="28"/>
      <c r="G624" s="28"/>
      <c r="H624" s="28"/>
      <c r="I624" s="28"/>
      <c r="J624" s="28"/>
      <c r="K624" s="28"/>
      <c r="L624" s="28"/>
      <c r="M624" s="28"/>
      <c r="N624" s="28"/>
      <c r="O624" s="28">
        <v>1</v>
      </c>
      <c r="P624" s="28">
        <v>0</v>
      </c>
      <c r="Q624" s="28">
        <v>0</v>
      </c>
      <c r="R624" s="28">
        <v>0</v>
      </c>
      <c r="S624" s="28">
        <v>0</v>
      </c>
      <c r="T624" s="28">
        <v>0</v>
      </c>
      <c r="U624" s="28">
        <v>0</v>
      </c>
      <c r="V624" s="28">
        <v>0</v>
      </c>
    </row>
    <row r="625" spans="1:22" ht="51" x14ac:dyDescent="0.2">
      <c r="A625" s="28" t="s">
        <v>600</v>
      </c>
      <c r="B625" s="28" t="s">
        <v>625</v>
      </c>
      <c r="C625" s="28">
        <v>0</v>
      </c>
      <c r="D625" s="28">
        <v>0</v>
      </c>
      <c r="E625" s="28">
        <v>0</v>
      </c>
      <c r="F625" s="28">
        <v>0</v>
      </c>
      <c r="G625" s="28">
        <v>0</v>
      </c>
      <c r="H625" s="28">
        <v>18</v>
      </c>
      <c r="I625" s="28">
        <v>33</v>
      </c>
      <c r="J625" s="28">
        <v>4</v>
      </c>
      <c r="K625" s="28">
        <v>18</v>
      </c>
      <c r="L625" s="28">
        <v>31</v>
      </c>
      <c r="M625" s="28">
        <v>16</v>
      </c>
      <c r="N625" s="28">
        <v>0</v>
      </c>
      <c r="O625" s="28">
        <v>22</v>
      </c>
      <c r="P625" s="28">
        <v>2</v>
      </c>
      <c r="Q625" s="28">
        <v>0</v>
      </c>
      <c r="R625" s="28">
        <v>0</v>
      </c>
      <c r="S625" s="28">
        <v>0</v>
      </c>
      <c r="T625" s="28">
        <v>0</v>
      </c>
      <c r="U625" s="28">
        <v>0</v>
      </c>
      <c r="V625" s="28">
        <v>0</v>
      </c>
    </row>
    <row r="626" spans="1:22" ht="51" x14ac:dyDescent="0.2">
      <c r="A626" s="28" t="s">
        <v>600</v>
      </c>
      <c r="B626" s="28" t="s">
        <v>626</v>
      </c>
      <c r="C626" s="28">
        <v>0</v>
      </c>
      <c r="D626" s="28">
        <v>0</v>
      </c>
      <c r="E626" s="28">
        <v>0</v>
      </c>
      <c r="F626" s="28">
        <v>0</v>
      </c>
      <c r="G626" s="28">
        <v>0</v>
      </c>
      <c r="H626" s="28">
        <v>0</v>
      </c>
      <c r="I626" s="28">
        <v>0</v>
      </c>
      <c r="J626" s="28">
        <v>0</v>
      </c>
      <c r="K626" s="28">
        <v>0</v>
      </c>
      <c r="L626" s="28">
        <v>0</v>
      </c>
      <c r="M626" s="28">
        <v>0</v>
      </c>
      <c r="N626" s="28">
        <v>0</v>
      </c>
      <c r="O626" s="28">
        <v>0</v>
      </c>
      <c r="P626" s="28">
        <v>0</v>
      </c>
      <c r="Q626" s="28">
        <v>0</v>
      </c>
      <c r="R626" s="28">
        <v>0</v>
      </c>
      <c r="S626" s="28">
        <v>0</v>
      </c>
      <c r="T626" s="28">
        <v>335</v>
      </c>
      <c r="U626" s="28">
        <v>63</v>
      </c>
      <c r="V626" s="28">
        <v>106</v>
      </c>
    </row>
    <row r="627" spans="1:22" ht="63.75" x14ac:dyDescent="0.2">
      <c r="A627" s="28" t="s">
        <v>600</v>
      </c>
      <c r="B627" s="28" t="s">
        <v>627</v>
      </c>
      <c r="C627" s="28">
        <v>0</v>
      </c>
      <c r="D627" s="28">
        <v>14</v>
      </c>
      <c r="E627" s="28">
        <v>0</v>
      </c>
      <c r="F627" s="28">
        <v>0</v>
      </c>
      <c r="G627" s="28">
        <v>0</v>
      </c>
      <c r="H627" s="28">
        <v>39</v>
      </c>
      <c r="I627" s="28">
        <v>34</v>
      </c>
      <c r="J627" s="28">
        <v>31</v>
      </c>
      <c r="K627" s="28">
        <v>62</v>
      </c>
      <c r="L627" s="28">
        <v>5</v>
      </c>
      <c r="M627" s="28">
        <v>1</v>
      </c>
      <c r="N627" s="28">
        <v>2</v>
      </c>
      <c r="O627" s="28">
        <v>2</v>
      </c>
      <c r="P627" s="28">
        <v>5</v>
      </c>
      <c r="Q627" s="28">
        <v>0</v>
      </c>
      <c r="R627" s="28">
        <v>0</v>
      </c>
      <c r="S627" s="28">
        <v>0</v>
      </c>
      <c r="T627" s="28">
        <v>3</v>
      </c>
      <c r="U627" s="28">
        <v>13</v>
      </c>
      <c r="V627" s="28">
        <v>0</v>
      </c>
    </row>
    <row r="628" spans="1:22" ht="89.25" x14ac:dyDescent="0.2">
      <c r="A628" s="28" t="s">
        <v>600</v>
      </c>
      <c r="B628" s="28" t="s">
        <v>628</v>
      </c>
      <c r="C628" s="28">
        <v>0</v>
      </c>
      <c r="D628" s="28">
        <v>0</v>
      </c>
      <c r="E628" s="28">
        <v>0</v>
      </c>
      <c r="F628" s="28">
        <v>0</v>
      </c>
      <c r="G628" s="28">
        <v>0</v>
      </c>
      <c r="H628" s="28">
        <v>0</v>
      </c>
      <c r="I628" s="28">
        <v>0</v>
      </c>
      <c r="J628" s="28">
        <v>0</v>
      </c>
      <c r="K628" s="28">
        <v>0</v>
      </c>
      <c r="L628" s="28">
        <v>0</v>
      </c>
      <c r="M628" s="28">
        <v>116</v>
      </c>
      <c r="N628" s="28">
        <v>17</v>
      </c>
      <c r="O628" s="28">
        <v>25</v>
      </c>
      <c r="P628" s="28">
        <v>20</v>
      </c>
      <c r="Q628" s="28">
        <v>10</v>
      </c>
      <c r="R628" s="28">
        <v>29</v>
      </c>
      <c r="S628" s="28">
        <v>32</v>
      </c>
      <c r="T628" s="28">
        <v>61</v>
      </c>
      <c r="U628" s="28">
        <v>48</v>
      </c>
      <c r="V628" s="28">
        <v>20</v>
      </c>
    </row>
    <row r="629" spans="1:22" ht="51" x14ac:dyDescent="0.2">
      <c r="A629" s="28" t="s">
        <v>600</v>
      </c>
      <c r="B629" s="28" t="s">
        <v>629</v>
      </c>
      <c r="C629" s="28">
        <v>0</v>
      </c>
      <c r="D629" s="28">
        <v>0</v>
      </c>
      <c r="E629" s="28">
        <v>0</v>
      </c>
      <c r="F629" s="28">
        <v>0</v>
      </c>
      <c r="G629" s="28">
        <v>0</v>
      </c>
      <c r="H629" s="28">
        <v>0</v>
      </c>
      <c r="I629" s="28">
        <v>0</v>
      </c>
      <c r="J629" s="28">
        <v>0</v>
      </c>
      <c r="K629" s="28">
        <v>0</v>
      </c>
      <c r="L629" s="28">
        <v>0</v>
      </c>
      <c r="M629" s="28">
        <v>0</v>
      </c>
      <c r="N629" s="28">
        <v>0</v>
      </c>
      <c r="O629" s="28">
        <v>0</v>
      </c>
      <c r="P629" s="28">
        <v>0</v>
      </c>
      <c r="Q629" s="28">
        <v>0</v>
      </c>
      <c r="R629" s="28">
        <v>0</v>
      </c>
      <c r="S629" s="28">
        <v>0</v>
      </c>
      <c r="T629" s="28">
        <v>0</v>
      </c>
      <c r="U629" s="28">
        <v>0</v>
      </c>
      <c r="V629" s="28">
        <v>0</v>
      </c>
    </row>
    <row r="630" spans="1:22" ht="51" x14ac:dyDescent="0.2">
      <c r="A630" s="28" t="s">
        <v>600</v>
      </c>
      <c r="B630" s="28" t="s">
        <v>630</v>
      </c>
      <c r="C630" s="28">
        <v>23</v>
      </c>
      <c r="D630" s="28">
        <v>4</v>
      </c>
      <c r="E630" s="28">
        <v>0</v>
      </c>
      <c r="F630" s="28">
        <v>0</v>
      </c>
      <c r="G630" s="28">
        <v>4</v>
      </c>
      <c r="H630" s="28">
        <v>1</v>
      </c>
      <c r="I630" s="28">
        <v>0</v>
      </c>
      <c r="J630" s="28">
        <v>2</v>
      </c>
      <c r="K630" s="28">
        <v>0</v>
      </c>
      <c r="L630" s="28">
        <v>0</v>
      </c>
      <c r="M630" s="28">
        <v>0</v>
      </c>
      <c r="N630" s="28">
        <v>0</v>
      </c>
      <c r="O630" s="28">
        <v>0</v>
      </c>
      <c r="P630" s="28">
        <v>0</v>
      </c>
      <c r="Q630" s="28">
        <v>0</v>
      </c>
      <c r="R630" s="28">
        <v>0</v>
      </c>
      <c r="S630" s="28">
        <v>0</v>
      </c>
      <c r="T630" s="28">
        <v>0</v>
      </c>
      <c r="U630" s="28">
        <v>0</v>
      </c>
      <c r="V630" s="28">
        <v>0</v>
      </c>
    </row>
    <row r="631" spans="1:22" ht="51" x14ac:dyDescent="0.2">
      <c r="A631" s="28" t="s">
        <v>600</v>
      </c>
      <c r="B631" s="28" t="s">
        <v>631</v>
      </c>
      <c r="C631" s="28">
        <v>0</v>
      </c>
      <c r="D631" s="28">
        <v>0</v>
      </c>
      <c r="E631" s="28">
        <v>0</v>
      </c>
      <c r="F631" s="28">
        <v>0</v>
      </c>
      <c r="G631" s="28">
        <v>0</v>
      </c>
      <c r="H631" s="28">
        <v>0</v>
      </c>
      <c r="I631" s="28">
        <v>0</v>
      </c>
      <c r="J631" s="28">
        <v>0</v>
      </c>
      <c r="K631" s="28">
        <v>0</v>
      </c>
      <c r="L631" s="28">
        <v>0</v>
      </c>
      <c r="M631" s="28">
        <v>0</v>
      </c>
      <c r="N631" s="28">
        <v>0</v>
      </c>
      <c r="O631" s="28"/>
      <c r="P631" s="28"/>
      <c r="Q631" s="28"/>
      <c r="R631" s="28"/>
      <c r="S631" s="28"/>
      <c r="T631" s="28"/>
      <c r="U631" s="28"/>
      <c r="V631" s="28">
        <v>0</v>
      </c>
    </row>
    <row r="632" spans="1:22" ht="63.75" x14ac:dyDescent="0.2">
      <c r="A632" s="28" t="s">
        <v>600</v>
      </c>
      <c r="B632" s="28" t="s">
        <v>632</v>
      </c>
      <c r="C632" s="28">
        <v>0</v>
      </c>
      <c r="D632" s="28">
        <v>1</v>
      </c>
      <c r="E632" s="28">
        <v>0</v>
      </c>
      <c r="F632" s="28">
        <v>0</v>
      </c>
      <c r="G632" s="28">
        <v>0</v>
      </c>
      <c r="H632" s="28">
        <v>0</v>
      </c>
      <c r="I632" s="28">
        <v>0</v>
      </c>
      <c r="J632" s="28">
        <v>0</v>
      </c>
      <c r="K632" s="28">
        <v>0</v>
      </c>
      <c r="L632" s="28">
        <v>0</v>
      </c>
      <c r="M632" s="28">
        <v>0</v>
      </c>
      <c r="N632" s="28">
        <v>0</v>
      </c>
      <c r="O632" s="28">
        <v>0</v>
      </c>
      <c r="P632" s="28">
        <v>0</v>
      </c>
      <c r="Q632" s="28">
        <v>0</v>
      </c>
      <c r="R632" s="28">
        <v>0</v>
      </c>
      <c r="S632" s="28">
        <v>0</v>
      </c>
      <c r="T632" s="28">
        <v>0</v>
      </c>
      <c r="U632" s="28">
        <v>0</v>
      </c>
      <c r="V632" s="28">
        <v>0</v>
      </c>
    </row>
    <row r="633" spans="1:22" ht="63.75" x14ac:dyDescent="0.2">
      <c r="A633" s="28" t="s">
        <v>600</v>
      </c>
      <c r="B633" s="28" t="s">
        <v>633</v>
      </c>
      <c r="C633" s="28">
        <v>168</v>
      </c>
      <c r="D633" s="28">
        <v>32</v>
      </c>
      <c r="E633" s="28">
        <v>50</v>
      </c>
      <c r="F633" s="28">
        <v>51</v>
      </c>
      <c r="G633" s="28">
        <v>24</v>
      </c>
      <c r="H633" s="28">
        <v>18</v>
      </c>
      <c r="I633" s="28">
        <v>25</v>
      </c>
      <c r="J633" s="28">
        <v>14</v>
      </c>
      <c r="K633" s="28">
        <v>5</v>
      </c>
      <c r="L633" s="28">
        <v>1</v>
      </c>
      <c r="M633" s="28">
        <v>0</v>
      </c>
      <c r="N633" s="28">
        <v>0</v>
      </c>
      <c r="O633" s="28">
        <v>0</v>
      </c>
      <c r="P633" s="28">
        <v>0</v>
      </c>
      <c r="Q633" s="28">
        <v>0</v>
      </c>
      <c r="R633" s="28">
        <v>0</v>
      </c>
      <c r="S633" s="28">
        <v>0</v>
      </c>
      <c r="T633" s="28">
        <v>0</v>
      </c>
      <c r="U633" s="28">
        <v>0</v>
      </c>
      <c r="V633" s="28">
        <v>0</v>
      </c>
    </row>
    <row r="634" spans="1:22" ht="38.25" x14ac:dyDescent="0.2">
      <c r="A634" s="28" t="s">
        <v>600</v>
      </c>
      <c r="B634" s="28" t="s">
        <v>634</v>
      </c>
      <c r="C634" s="28">
        <f t="shared" ref="C634:V634" si="205">SUM(C635:C641)</f>
        <v>151</v>
      </c>
      <c r="D634" s="28">
        <f t="shared" si="205"/>
        <v>229</v>
      </c>
      <c r="E634" s="28">
        <f t="shared" si="205"/>
        <v>213</v>
      </c>
      <c r="F634" s="28">
        <f t="shared" si="205"/>
        <v>114</v>
      </c>
      <c r="G634" s="28">
        <f t="shared" si="205"/>
        <v>96</v>
      </c>
      <c r="H634" s="28">
        <f t="shared" si="205"/>
        <v>189</v>
      </c>
      <c r="I634" s="28">
        <f t="shared" si="205"/>
        <v>168</v>
      </c>
      <c r="J634" s="28">
        <f t="shared" si="205"/>
        <v>191</v>
      </c>
      <c r="K634" s="28">
        <f t="shared" si="205"/>
        <v>209</v>
      </c>
      <c r="L634" s="28">
        <f t="shared" si="205"/>
        <v>217</v>
      </c>
      <c r="M634" s="28">
        <f t="shared" si="205"/>
        <v>300</v>
      </c>
      <c r="N634" s="28">
        <f t="shared" si="205"/>
        <v>221</v>
      </c>
      <c r="O634" s="28">
        <f t="shared" si="205"/>
        <v>234</v>
      </c>
      <c r="P634" s="28">
        <f t="shared" si="205"/>
        <v>212</v>
      </c>
      <c r="Q634" s="28">
        <f t="shared" si="205"/>
        <v>209</v>
      </c>
      <c r="R634" s="28">
        <f t="shared" si="205"/>
        <v>215</v>
      </c>
      <c r="S634" s="28">
        <f t="shared" si="205"/>
        <v>264</v>
      </c>
      <c r="T634" s="28">
        <f t="shared" si="205"/>
        <v>216</v>
      </c>
      <c r="U634" s="28">
        <f t="shared" si="205"/>
        <v>277</v>
      </c>
      <c r="V634" s="28">
        <f t="shared" si="205"/>
        <v>186</v>
      </c>
    </row>
    <row r="635" spans="1:22" ht="51" x14ac:dyDescent="0.2">
      <c r="A635" s="28" t="s">
        <v>600</v>
      </c>
      <c r="B635" s="28" t="s">
        <v>635</v>
      </c>
      <c r="C635" s="28">
        <v>19</v>
      </c>
      <c r="D635" s="28">
        <v>26</v>
      </c>
      <c r="E635" s="28">
        <v>9</v>
      </c>
      <c r="F635" s="28">
        <v>14</v>
      </c>
      <c r="G635" s="28">
        <v>17</v>
      </c>
      <c r="H635" s="28">
        <v>34</v>
      </c>
      <c r="I635" s="28">
        <v>43</v>
      </c>
      <c r="J635" s="28">
        <v>25</v>
      </c>
      <c r="K635" s="28">
        <v>12</v>
      </c>
      <c r="L635" s="28">
        <v>30</v>
      </c>
      <c r="M635" s="28">
        <v>24</v>
      </c>
      <c r="N635" s="28">
        <v>36</v>
      </c>
      <c r="O635" s="28">
        <v>69</v>
      </c>
      <c r="P635" s="28">
        <v>139</v>
      </c>
      <c r="Q635" s="28">
        <v>127</v>
      </c>
      <c r="R635" s="28">
        <v>137</v>
      </c>
      <c r="S635" s="28">
        <v>208</v>
      </c>
      <c r="T635" s="28">
        <v>133</v>
      </c>
      <c r="U635" s="28">
        <v>132</v>
      </c>
      <c r="V635" s="28">
        <v>79</v>
      </c>
    </row>
    <row r="636" spans="1:22" ht="63.75" x14ac:dyDescent="0.2">
      <c r="A636" s="28" t="s">
        <v>600</v>
      </c>
      <c r="B636" s="28" t="s">
        <v>636</v>
      </c>
      <c r="C636" s="28">
        <v>0</v>
      </c>
      <c r="D636" s="28">
        <v>0</v>
      </c>
      <c r="E636" s="28">
        <v>0</v>
      </c>
      <c r="F636" s="28">
        <v>0</v>
      </c>
      <c r="G636" s="28">
        <v>0</v>
      </c>
      <c r="H636" s="28">
        <v>0</v>
      </c>
      <c r="I636" s="28">
        <v>0</v>
      </c>
      <c r="J636" s="28">
        <v>0</v>
      </c>
      <c r="K636" s="28">
        <v>0</v>
      </c>
      <c r="L636" s="28">
        <v>3</v>
      </c>
      <c r="M636" s="28">
        <v>72</v>
      </c>
      <c r="N636" s="28">
        <v>0</v>
      </c>
      <c r="O636" s="28">
        <v>2</v>
      </c>
      <c r="P636" s="28">
        <v>9</v>
      </c>
      <c r="Q636" s="28">
        <v>1</v>
      </c>
      <c r="R636" s="28">
        <v>5</v>
      </c>
      <c r="S636" s="28">
        <v>8</v>
      </c>
      <c r="T636" s="28">
        <v>5</v>
      </c>
      <c r="U636" s="28">
        <v>13</v>
      </c>
      <c r="V636" s="28">
        <v>24</v>
      </c>
    </row>
    <row r="637" spans="1:22" ht="51" x14ac:dyDescent="0.2">
      <c r="A637" s="28" t="s">
        <v>600</v>
      </c>
      <c r="B637" s="28" t="s">
        <v>637</v>
      </c>
      <c r="C637" s="28">
        <v>20</v>
      </c>
      <c r="D637" s="28">
        <v>69</v>
      </c>
      <c r="E637" s="28">
        <v>27</v>
      </c>
      <c r="F637" s="28">
        <v>16</v>
      </c>
      <c r="G637" s="28">
        <v>14</v>
      </c>
      <c r="H637" s="28">
        <v>23</v>
      </c>
      <c r="I637" s="28">
        <v>31</v>
      </c>
      <c r="J637" s="28">
        <v>10</v>
      </c>
      <c r="K637" s="28">
        <v>14</v>
      </c>
      <c r="L637" s="28">
        <v>14</v>
      </c>
      <c r="M637" s="28">
        <v>19</v>
      </c>
      <c r="N637" s="28">
        <v>19</v>
      </c>
      <c r="O637" s="28">
        <v>25</v>
      </c>
      <c r="P637" s="28">
        <v>10</v>
      </c>
      <c r="Q637" s="28">
        <v>11</v>
      </c>
      <c r="R637" s="28">
        <v>10</v>
      </c>
      <c r="S637" s="28">
        <v>5</v>
      </c>
      <c r="T637" s="28">
        <v>12</v>
      </c>
      <c r="U637" s="28">
        <v>70</v>
      </c>
      <c r="V637" s="28">
        <v>18</v>
      </c>
    </row>
    <row r="638" spans="1:22" ht="63.75" x14ac:dyDescent="0.2">
      <c r="A638" s="28" t="s">
        <v>600</v>
      </c>
      <c r="B638" s="28" t="s">
        <v>638</v>
      </c>
      <c r="C638" s="28">
        <v>78</v>
      </c>
      <c r="D638" s="28">
        <v>108</v>
      </c>
      <c r="E638" s="28">
        <v>90</v>
      </c>
      <c r="F638" s="28">
        <v>81</v>
      </c>
      <c r="G638" s="28">
        <v>62</v>
      </c>
      <c r="H638" s="28">
        <v>100</v>
      </c>
      <c r="I638" s="28">
        <v>71</v>
      </c>
      <c r="J638" s="28">
        <v>116</v>
      </c>
      <c r="K638" s="28">
        <v>136</v>
      </c>
      <c r="L638" s="28">
        <v>121</v>
      </c>
      <c r="M638" s="28">
        <v>123</v>
      </c>
      <c r="N638" s="28">
        <v>102</v>
      </c>
      <c r="O638" s="28">
        <v>137</v>
      </c>
      <c r="P638" s="28">
        <v>54</v>
      </c>
      <c r="Q638" s="28">
        <v>70</v>
      </c>
      <c r="R638" s="28">
        <v>63</v>
      </c>
      <c r="S638" s="28">
        <v>43</v>
      </c>
      <c r="T638" s="28">
        <v>45</v>
      </c>
      <c r="U638" s="28">
        <f>30+18</f>
        <v>48</v>
      </c>
      <c r="V638" s="28">
        <f>57+5</f>
        <v>62</v>
      </c>
    </row>
    <row r="639" spans="1:22" ht="76.5" x14ac:dyDescent="0.2">
      <c r="A639" s="28" t="s">
        <v>600</v>
      </c>
      <c r="B639" s="28" t="s">
        <v>639</v>
      </c>
      <c r="C639" s="28">
        <v>0</v>
      </c>
      <c r="D639" s="28">
        <v>0</v>
      </c>
      <c r="E639" s="28">
        <v>0</v>
      </c>
      <c r="F639" s="28">
        <v>0</v>
      </c>
      <c r="G639" s="28">
        <v>0</v>
      </c>
      <c r="H639" s="28">
        <v>0</v>
      </c>
      <c r="I639" s="28">
        <v>0</v>
      </c>
      <c r="J639" s="28">
        <v>0</v>
      </c>
      <c r="K639" s="28">
        <v>0</v>
      </c>
      <c r="L639" s="28">
        <v>0</v>
      </c>
      <c r="M639" s="28">
        <v>0</v>
      </c>
      <c r="N639" s="28">
        <v>0</v>
      </c>
      <c r="O639" s="28">
        <v>1</v>
      </c>
      <c r="P639" s="28">
        <v>0</v>
      </c>
      <c r="Q639" s="28">
        <v>0</v>
      </c>
      <c r="R639" s="28">
        <v>0</v>
      </c>
      <c r="S639" s="28">
        <v>0</v>
      </c>
      <c r="T639" s="28">
        <v>21</v>
      </c>
      <c r="U639" s="28">
        <v>14</v>
      </c>
      <c r="V639" s="28">
        <v>3</v>
      </c>
    </row>
    <row r="640" spans="1:22" ht="63.75" x14ac:dyDescent="0.2">
      <c r="A640" s="28" t="s">
        <v>600</v>
      </c>
      <c r="B640" s="28" t="s">
        <v>640</v>
      </c>
      <c r="C640" s="28">
        <v>17</v>
      </c>
      <c r="D640" s="28">
        <v>24</v>
      </c>
      <c r="E640" s="28">
        <v>83</v>
      </c>
      <c r="F640" s="28">
        <v>0</v>
      </c>
      <c r="G640" s="28">
        <v>0</v>
      </c>
      <c r="H640" s="28">
        <v>31</v>
      </c>
      <c r="I640" s="28">
        <v>20</v>
      </c>
      <c r="J640" s="28">
        <v>40</v>
      </c>
      <c r="K640" s="28">
        <v>47</v>
      </c>
      <c r="L640" s="28">
        <v>49</v>
      </c>
      <c r="M640" s="28">
        <v>62</v>
      </c>
      <c r="N640" s="28">
        <v>62</v>
      </c>
      <c r="O640" s="28">
        <v>0</v>
      </c>
      <c r="P640" s="28">
        <v>0</v>
      </c>
      <c r="Q640" s="28">
        <v>0</v>
      </c>
      <c r="R640" s="28">
        <v>0</v>
      </c>
      <c r="S640" s="28">
        <v>0</v>
      </c>
      <c r="T640" s="28">
        <v>0</v>
      </c>
      <c r="U640" s="28">
        <v>0</v>
      </c>
      <c r="V640" s="28">
        <v>0</v>
      </c>
    </row>
    <row r="641" spans="1:22" ht="51" x14ac:dyDescent="0.2">
      <c r="A641" s="28" t="s">
        <v>600</v>
      </c>
      <c r="B641" s="28" t="s">
        <v>641</v>
      </c>
      <c r="C641" s="28">
        <v>17</v>
      </c>
      <c r="D641" s="28">
        <v>2</v>
      </c>
      <c r="E641" s="28">
        <v>4</v>
      </c>
      <c r="F641" s="28">
        <v>3</v>
      </c>
      <c r="G641" s="28">
        <v>3</v>
      </c>
      <c r="H641" s="28">
        <v>1</v>
      </c>
      <c r="I641" s="28">
        <v>3</v>
      </c>
      <c r="J641" s="28">
        <v>0</v>
      </c>
      <c r="K641" s="28">
        <v>0</v>
      </c>
      <c r="L641" s="28">
        <v>0</v>
      </c>
      <c r="M641" s="28">
        <v>0</v>
      </c>
      <c r="N641" s="28">
        <v>2</v>
      </c>
      <c r="O641" s="28">
        <v>0</v>
      </c>
      <c r="P641" s="28">
        <v>0</v>
      </c>
      <c r="Q641" s="28">
        <v>0</v>
      </c>
      <c r="R641" s="28">
        <v>0</v>
      </c>
      <c r="S641" s="28">
        <v>0</v>
      </c>
      <c r="T641" s="28">
        <v>0</v>
      </c>
      <c r="U641" s="28">
        <v>0</v>
      </c>
      <c r="V641" s="28">
        <v>0</v>
      </c>
    </row>
    <row r="642" spans="1:22" s="7" customFormat="1" ht="51" x14ac:dyDescent="0.2">
      <c r="A642" s="28" t="s">
        <v>642</v>
      </c>
      <c r="B642" s="28" t="s">
        <v>643</v>
      </c>
      <c r="C642" s="28">
        <f t="shared" ref="C642:V642" si="206">C643+C655</f>
        <v>439458</v>
      </c>
      <c r="D642" s="28">
        <f t="shared" si="206"/>
        <v>513915</v>
      </c>
      <c r="E642" s="28">
        <f t="shared" si="206"/>
        <v>604397</v>
      </c>
      <c r="F642" s="28">
        <f t="shared" si="206"/>
        <v>528040</v>
      </c>
      <c r="G642" s="28">
        <f t="shared" si="206"/>
        <v>536291</v>
      </c>
      <c r="H642" s="28">
        <f t="shared" si="206"/>
        <v>146410</v>
      </c>
      <c r="I642" s="28">
        <f t="shared" si="206"/>
        <v>108589</v>
      </c>
      <c r="J642" s="28">
        <f t="shared" si="206"/>
        <v>105189</v>
      </c>
      <c r="K642" s="28">
        <f t="shared" si="206"/>
        <v>100375</v>
      </c>
      <c r="L642" s="28">
        <f t="shared" si="206"/>
        <v>112065</v>
      </c>
      <c r="M642" s="28">
        <f t="shared" si="206"/>
        <v>134999</v>
      </c>
      <c r="N642" s="28">
        <f t="shared" si="206"/>
        <v>116277</v>
      </c>
      <c r="O642" s="28">
        <f>O643+O655</f>
        <v>102100</v>
      </c>
      <c r="P642" s="28">
        <f t="shared" si="206"/>
        <v>134709</v>
      </c>
      <c r="Q642" s="28">
        <f t="shared" si="206"/>
        <v>140722</v>
      </c>
      <c r="R642" s="28">
        <f t="shared" si="206"/>
        <v>142892</v>
      </c>
      <c r="S642" s="28">
        <f t="shared" si="206"/>
        <v>153137</v>
      </c>
      <c r="T642" s="28">
        <f t="shared" si="206"/>
        <v>148906</v>
      </c>
      <c r="U642" s="28">
        <f t="shared" si="206"/>
        <v>142774</v>
      </c>
      <c r="V642" s="28">
        <f t="shared" si="206"/>
        <v>158724</v>
      </c>
    </row>
    <row r="643" spans="1:22" s="7" customFormat="1" ht="63.75" x14ac:dyDescent="0.2">
      <c r="A643" s="28" t="s">
        <v>642</v>
      </c>
      <c r="B643" s="28" t="s">
        <v>644</v>
      </c>
      <c r="C643" s="28">
        <f t="shared" ref="C643:V643" si="207">SUM(C644:C654)</f>
        <v>435209</v>
      </c>
      <c r="D643" s="28">
        <f t="shared" si="207"/>
        <v>508829</v>
      </c>
      <c r="E643" s="28">
        <f t="shared" si="207"/>
        <v>598667</v>
      </c>
      <c r="F643" s="28">
        <f t="shared" si="207"/>
        <v>521780</v>
      </c>
      <c r="G643" s="28">
        <f t="shared" si="207"/>
        <v>529148</v>
      </c>
      <c r="H643" s="28">
        <f t="shared" si="207"/>
        <v>139822</v>
      </c>
      <c r="I643" s="28">
        <f t="shared" si="207"/>
        <v>101458</v>
      </c>
      <c r="J643" s="28">
        <f t="shared" si="207"/>
        <v>98146</v>
      </c>
      <c r="K643" s="28">
        <f t="shared" si="207"/>
        <v>93593</v>
      </c>
      <c r="L643" s="28">
        <f t="shared" si="207"/>
        <v>104566</v>
      </c>
      <c r="M643" s="28">
        <f t="shared" si="207"/>
        <v>126436</v>
      </c>
      <c r="N643" s="28">
        <f t="shared" si="207"/>
        <v>106601</v>
      </c>
      <c r="O643" s="28">
        <f t="shared" si="207"/>
        <v>91325</v>
      </c>
      <c r="P643" s="28">
        <f t="shared" si="207"/>
        <v>122880</v>
      </c>
      <c r="Q643" s="28">
        <f t="shared" si="207"/>
        <v>128433</v>
      </c>
      <c r="R643" s="28">
        <f t="shared" si="207"/>
        <v>130930</v>
      </c>
      <c r="S643" s="28">
        <f t="shared" si="207"/>
        <v>141361</v>
      </c>
      <c r="T643" s="28">
        <f t="shared" si="207"/>
        <v>136595</v>
      </c>
      <c r="U643" s="28">
        <f t="shared" si="207"/>
        <v>128273</v>
      </c>
      <c r="V643" s="28">
        <f t="shared" si="207"/>
        <v>143273</v>
      </c>
    </row>
    <row r="644" spans="1:22" s="7" customFormat="1" ht="51" x14ac:dyDescent="0.2">
      <c r="A644" s="28" t="s">
        <v>642</v>
      </c>
      <c r="B644" s="28" t="s">
        <v>645</v>
      </c>
      <c r="C644" s="28"/>
      <c r="D644" s="28"/>
      <c r="E644" s="28"/>
      <c r="F644" s="28"/>
      <c r="G644" s="28"/>
      <c r="H644" s="28"/>
      <c r="I644" s="28"/>
      <c r="J644" s="28"/>
      <c r="K644" s="28"/>
      <c r="L644" s="28">
        <v>1472</v>
      </c>
      <c r="M644" s="28">
        <v>2410</v>
      </c>
      <c r="N644" s="28">
        <v>2340</v>
      </c>
      <c r="O644" s="28">
        <v>2167</v>
      </c>
      <c r="P644" s="28">
        <v>1888</v>
      </c>
      <c r="Q644" s="28">
        <v>1886</v>
      </c>
      <c r="R644" s="28">
        <v>2046</v>
      </c>
      <c r="S644" s="28">
        <v>1933</v>
      </c>
      <c r="T644" s="28">
        <v>2112</v>
      </c>
      <c r="U644" s="28">
        <v>1995</v>
      </c>
      <c r="V644" s="28">
        <v>1958</v>
      </c>
    </row>
    <row r="645" spans="1:22" s="7" customFormat="1" ht="51" x14ac:dyDescent="0.2">
      <c r="A645" s="28" t="s">
        <v>642</v>
      </c>
      <c r="B645" s="28" t="s">
        <v>646</v>
      </c>
      <c r="C645" s="28"/>
      <c r="D645" s="28"/>
      <c r="E645" s="28"/>
      <c r="F645" s="28"/>
      <c r="G645" s="28"/>
      <c r="H645" s="28"/>
      <c r="I645" s="28"/>
      <c r="J645" s="28"/>
      <c r="K645" s="28"/>
      <c r="L645" s="28"/>
      <c r="M645" s="28"/>
      <c r="N645" s="28"/>
      <c r="O645" s="28">
        <v>306</v>
      </c>
      <c r="P645" s="28">
        <v>332</v>
      </c>
      <c r="Q645" s="28">
        <v>448</v>
      </c>
      <c r="R645" s="28">
        <v>878</v>
      </c>
      <c r="S645" s="28">
        <v>954</v>
      </c>
      <c r="T645" s="28">
        <v>1163</v>
      </c>
      <c r="U645" s="28">
        <v>1299</v>
      </c>
      <c r="V645" s="28">
        <f>1612+135</f>
        <v>1747</v>
      </c>
    </row>
    <row r="646" spans="1:22" s="7" customFormat="1" ht="51" x14ac:dyDescent="0.2">
      <c r="A646" s="28" t="s">
        <v>642</v>
      </c>
      <c r="B646" s="28" t="s">
        <v>647</v>
      </c>
      <c r="C646" s="28"/>
      <c r="D646" s="28"/>
      <c r="E646" s="28"/>
      <c r="F646" s="28"/>
      <c r="G646" s="28"/>
      <c r="H646" s="28"/>
      <c r="I646" s="28"/>
      <c r="J646" s="28"/>
      <c r="K646" s="28"/>
      <c r="L646" s="28"/>
      <c r="M646" s="28">
        <v>1034</v>
      </c>
      <c r="N646" s="28">
        <v>1663</v>
      </c>
      <c r="O646" s="28">
        <v>1661</v>
      </c>
      <c r="P646" s="28">
        <v>1697</v>
      </c>
      <c r="Q646" s="28">
        <v>1700</v>
      </c>
      <c r="R646" s="28">
        <v>1718</v>
      </c>
      <c r="S646" s="28">
        <v>1505</v>
      </c>
      <c r="T646" s="28">
        <v>1504</v>
      </c>
      <c r="U646" s="28">
        <v>1511</v>
      </c>
      <c r="V646" s="28">
        <v>1787</v>
      </c>
    </row>
    <row r="647" spans="1:22" s="7" customFormat="1" ht="51" x14ac:dyDescent="0.2">
      <c r="A647" s="28" t="s">
        <v>642</v>
      </c>
      <c r="B647" s="28" t="s">
        <v>648</v>
      </c>
      <c r="C647" s="28"/>
      <c r="D647" s="28"/>
      <c r="E647" s="28"/>
      <c r="F647" s="28"/>
      <c r="G647" s="28"/>
      <c r="H647" s="28"/>
      <c r="I647" s="28"/>
      <c r="J647" s="28"/>
      <c r="K647" s="28"/>
      <c r="L647" s="28">
        <v>7963</v>
      </c>
      <c r="M647" s="28">
        <v>12657</v>
      </c>
      <c r="N647" s="28">
        <v>11266</v>
      </c>
      <c r="O647" s="28">
        <v>10264</v>
      </c>
      <c r="P647" s="28">
        <v>13068</v>
      </c>
      <c r="Q647" s="28">
        <v>13623</v>
      </c>
      <c r="R647" s="28">
        <v>10862</v>
      </c>
      <c r="S647" s="28">
        <v>10279</v>
      </c>
      <c r="T647" s="28">
        <v>9159</v>
      </c>
      <c r="U647" s="28">
        <v>8731</v>
      </c>
      <c r="V647" s="28">
        <v>10067</v>
      </c>
    </row>
    <row r="648" spans="1:22" s="7" customFormat="1" ht="63.75" x14ac:dyDescent="0.2">
      <c r="A648" s="28" t="s">
        <v>642</v>
      </c>
      <c r="B648" s="28" t="s">
        <v>649</v>
      </c>
      <c r="C648" s="28"/>
      <c r="D648" s="28"/>
      <c r="E648" s="28"/>
      <c r="F648" s="28"/>
      <c r="G648" s="28"/>
      <c r="H648" s="28"/>
      <c r="I648" s="28"/>
      <c r="J648" s="28"/>
      <c r="K648" s="28"/>
      <c r="L648" s="28"/>
      <c r="M648" s="28"/>
      <c r="N648" s="28">
        <v>1905</v>
      </c>
      <c r="O648" s="28">
        <v>5306</v>
      </c>
      <c r="P648" s="28">
        <v>8473</v>
      </c>
      <c r="Q648" s="28">
        <v>10748</v>
      </c>
      <c r="R648" s="28">
        <v>8964</v>
      </c>
      <c r="S648" s="28">
        <v>9243</v>
      </c>
      <c r="T648" s="28">
        <v>9725</v>
      </c>
      <c r="U648" s="28">
        <v>6851</v>
      </c>
      <c r="V648" s="28">
        <v>10302</v>
      </c>
    </row>
    <row r="649" spans="1:22" s="7" customFormat="1" ht="51" x14ac:dyDescent="0.2">
      <c r="A649" s="28" t="s">
        <v>642</v>
      </c>
      <c r="B649" s="28" t="s">
        <v>650</v>
      </c>
      <c r="C649" s="28"/>
      <c r="D649" s="28"/>
      <c r="E649" s="28"/>
      <c r="F649" s="28"/>
      <c r="G649" s="28"/>
      <c r="H649" s="28"/>
      <c r="I649" s="28"/>
      <c r="J649" s="28"/>
      <c r="K649" s="28"/>
      <c r="L649" s="28"/>
      <c r="M649" s="28">
        <v>16349</v>
      </c>
      <c r="N649" s="28">
        <v>16072</v>
      </c>
      <c r="O649" s="28">
        <v>16799</v>
      </c>
      <c r="P649" s="28">
        <v>19875</v>
      </c>
      <c r="Q649" s="28">
        <v>18157</v>
      </c>
      <c r="R649" s="28">
        <v>16833</v>
      </c>
      <c r="S649" s="28">
        <v>18327</v>
      </c>
      <c r="T649" s="28">
        <v>19680</v>
      </c>
      <c r="U649" s="28">
        <v>15922</v>
      </c>
      <c r="V649" s="28">
        <v>16512</v>
      </c>
    </row>
    <row r="650" spans="1:22" s="7" customFormat="1" ht="51" x14ac:dyDescent="0.2">
      <c r="A650" s="28" t="s">
        <v>642</v>
      </c>
      <c r="B650" s="28" t="s">
        <v>651</v>
      </c>
      <c r="C650" s="28">
        <v>11338</v>
      </c>
      <c r="D650" s="28">
        <v>11569</v>
      </c>
      <c r="E650" s="28">
        <v>10669</v>
      </c>
      <c r="F650" s="28">
        <v>9033</v>
      </c>
      <c r="G650" s="28">
        <v>9217</v>
      </c>
      <c r="H650" s="28">
        <v>8109</v>
      </c>
      <c r="I650" s="28">
        <v>8222</v>
      </c>
      <c r="J650" s="28">
        <v>7322</v>
      </c>
      <c r="K650" s="28">
        <v>7626</v>
      </c>
      <c r="L650" s="28">
        <v>7596</v>
      </c>
      <c r="M650" s="28">
        <v>7723</v>
      </c>
      <c r="N650" s="28">
        <v>7359</v>
      </c>
      <c r="O650" s="28">
        <v>7390</v>
      </c>
      <c r="P650" s="28">
        <v>7739</v>
      </c>
      <c r="Q650" s="28">
        <v>6002</v>
      </c>
      <c r="R650" s="28">
        <v>5891</v>
      </c>
      <c r="S650" s="28">
        <v>5519</v>
      </c>
      <c r="T650" s="28">
        <v>4684</v>
      </c>
      <c r="U650" s="28">
        <v>5425</v>
      </c>
      <c r="V650" s="28">
        <f>3519+1894</f>
        <v>5413</v>
      </c>
    </row>
    <row r="651" spans="1:22" s="7" customFormat="1" ht="51" x14ac:dyDescent="0.2">
      <c r="A651" s="28" t="s">
        <v>642</v>
      </c>
      <c r="B651" s="28" t="s">
        <v>652</v>
      </c>
      <c r="C651" s="28">
        <v>401342</v>
      </c>
      <c r="D651" s="28">
        <v>467293</v>
      </c>
      <c r="E651" s="28">
        <v>550868</v>
      </c>
      <c r="F651" s="28">
        <v>474723</v>
      </c>
      <c r="G651" s="28">
        <v>482242</v>
      </c>
      <c r="H651" s="28">
        <v>96627</v>
      </c>
      <c r="I651" s="28">
        <v>59596</v>
      </c>
      <c r="J651" s="28">
        <v>55976</v>
      </c>
      <c r="K651" s="28">
        <v>53014</v>
      </c>
      <c r="L651" s="28">
        <v>52741</v>
      </c>
      <c r="M651" s="28">
        <v>47588</v>
      </c>
      <c r="N651" s="28">
        <v>36393</v>
      </c>
      <c r="O651" s="28">
        <v>32285</v>
      </c>
      <c r="P651" s="28">
        <v>33894</v>
      </c>
      <c r="Q651" s="28">
        <v>39483</v>
      </c>
      <c r="R651" s="28">
        <v>44260</v>
      </c>
      <c r="S651" s="28">
        <v>49746</v>
      </c>
      <c r="T651" s="28">
        <v>50118</v>
      </c>
      <c r="U651" s="28">
        <v>48072</v>
      </c>
      <c r="V651" s="28">
        <f>9605+42923</f>
        <v>52528</v>
      </c>
    </row>
    <row r="652" spans="1:22" s="7" customFormat="1" ht="63.75" x14ac:dyDescent="0.2">
      <c r="A652" s="28" t="s">
        <v>642</v>
      </c>
      <c r="B652" s="28" t="s">
        <v>653</v>
      </c>
      <c r="C652" s="28"/>
      <c r="D652" s="28"/>
      <c r="E652" s="28"/>
      <c r="F652" s="28"/>
      <c r="G652" s="28"/>
      <c r="H652" s="28"/>
      <c r="I652" s="28"/>
      <c r="J652" s="28"/>
      <c r="K652" s="28"/>
      <c r="L652" s="28"/>
      <c r="M652" s="28">
        <v>1158</v>
      </c>
      <c r="N652" s="28">
        <v>711</v>
      </c>
      <c r="O652" s="28">
        <v>458</v>
      </c>
      <c r="P652" s="28">
        <v>685</v>
      </c>
      <c r="Q652" s="28">
        <v>685</v>
      </c>
      <c r="R652" s="28">
        <v>827</v>
      </c>
      <c r="S652" s="28">
        <v>2679</v>
      </c>
      <c r="T652" s="28">
        <v>1870</v>
      </c>
      <c r="U652" s="28">
        <v>1367</v>
      </c>
      <c r="V652" s="28">
        <v>2091</v>
      </c>
    </row>
    <row r="653" spans="1:22" s="7" customFormat="1" ht="63.75" x14ac:dyDescent="0.2">
      <c r="A653" s="28" t="s">
        <v>642</v>
      </c>
      <c r="B653" s="28" t="s">
        <v>654</v>
      </c>
      <c r="C653" s="28">
        <v>22194</v>
      </c>
      <c r="D653" s="28">
        <v>29547</v>
      </c>
      <c r="E653" s="28">
        <v>36579</v>
      </c>
      <c r="F653" s="28">
        <v>37207</v>
      </c>
      <c r="G653" s="28">
        <v>37109</v>
      </c>
      <c r="H653" s="28">
        <v>34295</v>
      </c>
      <c r="I653" s="28">
        <v>33133</v>
      </c>
      <c r="J653" s="28">
        <v>34068</v>
      </c>
      <c r="K653" s="28">
        <v>32464</v>
      </c>
      <c r="L653" s="28">
        <v>33846</v>
      </c>
      <c r="M653" s="28">
        <v>36549</v>
      </c>
      <c r="N653" s="28">
        <v>28781</v>
      </c>
      <c r="O653" s="28">
        <v>14686</v>
      </c>
      <c r="P653" s="28">
        <v>35229</v>
      </c>
      <c r="Q653" s="28">
        <v>35525</v>
      </c>
      <c r="R653" s="28">
        <v>38258</v>
      </c>
      <c r="S653" s="28">
        <v>40934</v>
      </c>
      <c r="T653" s="28">
        <v>36435</v>
      </c>
      <c r="U653" s="28">
        <v>36927</v>
      </c>
      <c r="V653" s="28">
        <v>40722</v>
      </c>
    </row>
    <row r="654" spans="1:22" s="7" customFormat="1" ht="51" x14ac:dyDescent="0.2">
      <c r="A654" s="28" t="s">
        <v>642</v>
      </c>
      <c r="B654" s="28" t="s">
        <v>655</v>
      </c>
      <c r="C654" s="28">
        <v>335</v>
      </c>
      <c r="D654" s="28">
        <v>420</v>
      </c>
      <c r="E654" s="28">
        <v>551</v>
      </c>
      <c r="F654" s="28">
        <v>817</v>
      </c>
      <c r="G654" s="28">
        <v>580</v>
      </c>
      <c r="H654" s="28">
        <v>791</v>
      </c>
      <c r="I654" s="28">
        <v>507</v>
      </c>
      <c r="J654" s="28">
        <v>780</v>
      </c>
      <c r="K654" s="28">
        <v>489</v>
      </c>
      <c r="L654" s="28">
        <v>948</v>
      </c>
      <c r="M654" s="28">
        <v>968</v>
      </c>
      <c r="N654" s="28">
        <v>111</v>
      </c>
      <c r="O654" s="28">
        <v>3</v>
      </c>
      <c r="P654" s="28">
        <v>0</v>
      </c>
      <c r="Q654" s="28">
        <v>176</v>
      </c>
      <c r="R654" s="28">
        <v>393</v>
      </c>
      <c r="S654" s="28">
        <v>242</v>
      </c>
      <c r="T654" s="28">
        <v>145</v>
      </c>
      <c r="U654" s="28">
        <v>173</v>
      </c>
      <c r="V654" s="28">
        <v>146</v>
      </c>
    </row>
    <row r="655" spans="1:22" s="7" customFormat="1" ht="63.75" x14ac:dyDescent="0.2">
      <c r="A655" s="28" t="s">
        <v>642</v>
      </c>
      <c r="B655" s="28" t="s">
        <v>656</v>
      </c>
      <c r="C655" s="28">
        <f t="shared" ref="C655:V655" si="208">C656+C664</f>
        <v>4249</v>
      </c>
      <c r="D655" s="28">
        <f t="shared" si="208"/>
        <v>5086</v>
      </c>
      <c r="E655" s="28">
        <f t="shared" si="208"/>
        <v>5730</v>
      </c>
      <c r="F655" s="28">
        <f t="shared" si="208"/>
        <v>6260</v>
      </c>
      <c r="G655" s="28">
        <f t="shared" si="208"/>
        <v>7143</v>
      </c>
      <c r="H655" s="28">
        <f t="shared" si="208"/>
        <v>6588</v>
      </c>
      <c r="I655" s="28">
        <f t="shared" si="208"/>
        <v>7131</v>
      </c>
      <c r="J655" s="28">
        <f t="shared" si="208"/>
        <v>7043</v>
      </c>
      <c r="K655" s="28">
        <f t="shared" si="208"/>
        <v>6782</v>
      </c>
      <c r="L655" s="28">
        <f t="shared" si="208"/>
        <v>7499</v>
      </c>
      <c r="M655" s="28">
        <f t="shared" si="208"/>
        <v>8563</v>
      </c>
      <c r="N655" s="28">
        <f t="shared" si="208"/>
        <v>9676</v>
      </c>
      <c r="O655" s="28">
        <f t="shared" si="208"/>
        <v>10775</v>
      </c>
      <c r="P655" s="28">
        <f t="shared" si="208"/>
        <v>11829</v>
      </c>
      <c r="Q655" s="28">
        <f t="shared" si="208"/>
        <v>12289</v>
      </c>
      <c r="R655" s="28">
        <f t="shared" si="208"/>
        <v>11962</v>
      </c>
      <c r="S655" s="28">
        <f t="shared" si="208"/>
        <v>11776</v>
      </c>
      <c r="T655" s="28">
        <f t="shared" si="208"/>
        <v>12311</v>
      </c>
      <c r="U655" s="28">
        <f t="shared" si="208"/>
        <v>14501</v>
      </c>
      <c r="V655" s="28">
        <f t="shared" si="208"/>
        <v>15451</v>
      </c>
    </row>
    <row r="656" spans="1:22" s="7" customFormat="1" ht="63.75" x14ac:dyDescent="0.2">
      <c r="A656" s="28" t="s">
        <v>642</v>
      </c>
      <c r="B656" s="28" t="s">
        <v>657</v>
      </c>
      <c r="C656" s="28">
        <f>SUM(C657:C659)</f>
        <v>3886</v>
      </c>
      <c r="D656" s="28">
        <f t="shared" ref="D656:V656" si="209">SUM(D657:D659)</f>
        <v>4644</v>
      </c>
      <c r="E656" s="28">
        <f t="shared" si="209"/>
        <v>5257</v>
      </c>
      <c r="F656" s="28">
        <f t="shared" si="209"/>
        <v>5735</v>
      </c>
      <c r="G656" s="28">
        <f t="shared" si="209"/>
        <v>6465</v>
      </c>
      <c r="H656" s="28">
        <f t="shared" si="209"/>
        <v>5986</v>
      </c>
      <c r="I656" s="28">
        <f t="shared" si="209"/>
        <v>6487</v>
      </c>
      <c r="J656" s="28">
        <f t="shared" si="209"/>
        <v>6511</v>
      </c>
      <c r="K656" s="28">
        <f t="shared" si="209"/>
        <v>6228</v>
      </c>
      <c r="L656" s="28">
        <f t="shared" si="209"/>
        <v>7034</v>
      </c>
      <c r="M656" s="28">
        <f t="shared" si="209"/>
        <v>7985</v>
      </c>
      <c r="N656" s="28">
        <f t="shared" si="209"/>
        <v>9006</v>
      </c>
      <c r="O656" s="28">
        <f t="shared" si="209"/>
        <v>10183</v>
      </c>
      <c r="P656" s="28">
        <f t="shared" si="209"/>
        <v>11084</v>
      </c>
      <c r="Q656" s="28">
        <f t="shared" si="209"/>
        <v>11327</v>
      </c>
      <c r="R656" s="28">
        <f t="shared" si="209"/>
        <v>11081</v>
      </c>
      <c r="S656" s="28">
        <f t="shared" si="209"/>
        <v>11016</v>
      </c>
      <c r="T656" s="28">
        <f t="shared" si="209"/>
        <v>11606</v>
      </c>
      <c r="U656" s="28">
        <f t="shared" si="209"/>
        <v>13916</v>
      </c>
      <c r="V656" s="28">
        <f t="shared" si="209"/>
        <v>14863</v>
      </c>
    </row>
    <row r="657" spans="1:22" ht="89.25" x14ac:dyDescent="0.2">
      <c r="A657" s="28" t="s">
        <v>642</v>
      </c>
      <c r="B657" s="28" t="s">
        <v>658</v>
      </c>
      <c r="C657" s="28">
        <v>1693</v>
      </c>
      <c r="D657" s="28">
        <v>1970</v>
      </c>
      <c r="E657" s="28">
        <v>2416</v>
      </c>
      <c r="F657" s="28">
        <v>2590</v>
      </c>
      <c r="G657" s="28">
        <v>3191</v>
      </c>
      <c r="H657" s="28">
        <v>2905</v>
      </c>
      <c r="I657" s="28">
        <v>3050</v>
      </c>
      <c r="J657" s="28">
        <v>3326</v>
      </c>
      <c r="K657" s="28">
        <v>3325</v>
      </c>
      <c r="L657" s="28">
        <v>3626</v>
      </c>
      <c r="M657" s="28">
        <v>3572</v>
      </c>
      <c r="N657" s="28">
        <v>3584</v>
      </c>
      <c r="O657" s="28">
        <v>3696</v>
      </c>
      <c r="P657" s="28">
        <v>3815</v>
      </c>
      <c r="Q657" s="28">
        <v>3705</v>
      </c>
      <c r="R657" s="28">
        <v>3284</v>
      </c>
      <c r="S657" s="28">
        <v>3315</v>
      </c>
      <c r="T657" s="28">
        <v>3325</v>
      </c>
      <c r="U657" s="28">
        <v>4062</v>
      </c>
      <c r="V657" s="28">
        <v>4557</v>
      </c>
    </row>
    <row r="658" spans="1:22" ht="89.25" x14ac:dyDescent="0.2">
      <c r="A658" s="28" t="s">
        <v>642</v>
      </c>
      <c r="B658" s="28" t="s">
        <v>659</v>
      </c>
      <c r="C658" s="28">
        <v>1173</v>
      </c>
      <c r="D658" s="28">
        <v>1547</v>
      </c>
      <c r="E658" s="28">
        <v>1895</v>
      </c>
      <c r="F658" s="28">
        <v>2178</v>
      </c>
      <c r="G658" s="28">
        <v>2240</v>
      </c>
      <c r="H658" s="28">
        <v>1968</v>
      </c>
      <c r="I658" s="28">
        <v>2519</v>
      </c>
      <c r="J658" s="28">
        <v>2387</v>
      </c>
      <c r="K658" s="28">
        <v>2062</v>
      </c>
      <c r="L658" s="28">
        <v>2127</v>
      </c>
      <c r="M658" s="28">
        <v>2641</v>
      </c>
      <c r="N658" s="28">
        <v>2930</v>
      </c>
      <c r="O658" s="28">
        <v>3266</v>
      </c>
      <c r="P658" s="28">
        <v>3269</v>
      </c>
      <c r="Q658" s="28">
        <v>3307</v>
      </c>
      <c r="R658" s="28">
        <v>3192</v>
      </c>
      <c r="S658" s="28">
        <v>3211</v>
      </c>
      <c r="T658" s="28">
        <v>3600</v>
      </c>
      <c r="U658" s="28">
        <v>4567</v>
      </c>
      <c r="V658" s="28">
        <v>5258</v>
      </c>
    </row>
    <row r="659" spans="1:22" ht="89.25" x14ac:dyDescent="0.2">
      <c r="A659" s="28" t="s">
        <v>642</v>
      </c>
      <c r="B659" s="28" t="s">
        <v>660</v>
      </c>
      <c r="C659" s="28">
        <v>1020</v>
      </c>
      <c r="D659" s="28">
        <v>1127</v>
      </c>
      <c r="E659" s="28">
        <v>946</v>
      </c>
      <c r="F659" s="28">
        <v>967</v>
      </c>
      <c r="G659" s="28">
        <v>1034</v>
      </c>
      <c r="H659" s="28">
        <v>1113</v>
      </c>
      <c r="I659" s="28">
        <v>918</v>
      </c>
      <c r="J659" s="28">
        <v>798</v>
      </c>
      <c r="K659" s="28">
        <v>841</v>
      </c>
      <c r="L659" s="28">
        <v>1281</v>
      </c>
      <c r="M659" s="28">
        <v>1772</v>
      </c>
      <c r="N659" s="28">
        <v>2492</v>
      </c>
      <c r="O659" s="28">
        <v>3221</v>
      </c>
      <c r="P659" s="28">
        <v>4000</v>
      </c>
      <c r="Q659" s="28">
        <v>4315</v>
      </c>
      <c r="R659" s="28">
        <v>4605</v>
      </c>
      <c r="S659" s="28">
        <v>4490</v>
      </c>
      <c r="T659" s="28">
        <v>4681</v>
      </c>
      <c r="U659" s="28">
        <v>5287</v>
      </c>
      <c r="V659" s="28">
        <v>5048</v>
      </c>
    </row>
    <row r="660" spans="1:22" ht="102" x14ac:dyDescent="0.2">
      <c r="A660" s="28" t="s">
        <v>642</v>
      </c>
      <c r="B660" s="28" t="s">
        <v>661</v>
      </c>
      <c r="C660" s="28">
        <v>2672</v>
      </c>
      <c r="D660" s="28">
        <v>3079</v>
      </c>
      <c r="E660" s="28">
        <v>3209</v>
      </c>
      <c r="F660" s="28">
        <v>3190</v>
      </c>
      <c r="G660" s="28">
        <v>3576</v>
      </c>
      <c r="H660" s="28">
        <v>3144</v>
      </c>
      <c r="I660" s="28">
        <v>3149</v>
      </c>
      <c r="J660" s="28">
        <v>3196</v>
      </c>
      <c r="K660" s="28">
        <v>3188</v>
      </c>
      <c r="L660" s="28">
        <v>3804</v>
      </c>
      <c r="M660" s="28">
        <v>3995</v>
      </c>
      <c r="N660" s="28">
        <v>4624</v>
      </c>
      <c r="O660" s="28">
        <v>5226</v>
      </c>
      <c r="P660" s="28">
        <v>5171</v>
      </c>
      <c r="Q660" s="28">
        <v>5277</v>
      </c>
      <c r="R660" s="28">
        <v>4979</v>
      </c>
      <c r="S660" s="28">
        <v>5076</v>
      </c>
      <c r="T660" s="28">
        <v>5400</v>
      </c>
      <c r="U660" s="28">
        <v>6714</v>
      </c>
      <c r="V660" s="28">
        <v>6861</v>
      </c>
    </row>
    <row r="661" spans="1:22" ht="102" x14ac:dyDescent="0.2">
      <c r="A661" s="28" t="s">
        <v>642</v>
      </c>
      <c r="B661" s="28" t="s">
        <v>662</v>
      </c>
      <c r="C661" s="28">
        <v>1214</v>
      </c>
      <c r="D661" s="28">
        <v>1565</v>
      </c>
      <c r="E661" s="28">
        <v>2048</v>
      </c>
      <c r="F661" s="28">
        <v>2545</v>
      </c>
      <c r="G661" s="28">
        <v>2889</v>
      </c>
      <c r="H661" s="28">
        <v>2842</v>
      </c>
      <c r="I661" s="28">
        <v>3338</v>
      </c>
      <c r="J661" s="28">
        <v>3315</v>
      </c>
      <c r="K661" s="28">
        <v>2970</v>
      </c>
      <c r="L661" s="28">
        <v>2858</v>
      </c>
      <c r="M661" s="28">
        <v>2729</v>
      </c>
      <c r="N661" s="28">
        <v>2791</v>
      </c>
      <c r="O661" s="28">
        <v>2930</v>
      </c>
      <c r="P661" s="28">
        <v>3210</v>
      </c>
      <c r="Q661" s="28">
        <v>3116</v>
      </c>
      <c r="R661" s="28">
        <v>2937</v>
      </c>
      <c r="S661" s="28">
        <v>2800</v>
      </c>
      <c r="T661" s="28">
        <v>2990</v>
      </c>
      <c r="U661" s="28">
        <v>3636</v>
      </c>
      <c r="V661" s="28">
        <v>4317</v>
      </c>
    </row>
    <row r="662" spans="1:22" ht="102" x14ac:dyDescent="0.2">
      <c r="A662" s="28" t="s">
        <v>642</v>
      </c>
      <c r="B662" s="28" t="s">
        <v>663</v>
      </c>
      <c r="C662" s="28"/>
      <c r="D662" s="28"/>
      <c r="E662" s="28"/>
      <c r="F662" s="28"/>
      <c r="G662" s="28"/>
      <c r="H662" s="28"/>
      <c r="I662" s="28"/>
      <c r="J662" s="28"/>
      <c r="K662" s="28">
        <v>58</v>
      </c>
      <c r="L662" s="28">
        <v>334</v>
      </c>
      <c r="M662" s="28">
        <v>1060</v>
      </c>
      <c r="N662" s="28">
        <v>1288</v>
      </c>
      <c r="O662" s="28">
        <v>1688</v>
      </c>
      <c r="P662" s="28">
        <v>2348</v>
      </c>
      <c r="Q662" s="28">
        <v>2468</v>
      </c>
      <c r="R662" s="28">
        <v>2755</v>
      </c>
      <c r="S662" s="28">
        <v>2767</v>
      </c>
      <c r="T662" s="28">
        <v>2805</v>
      </c>
      <c r="U662" s="28">
        <v>3084</v>
      </c>
      <c r="V662" s="28">
        <v>3048</v>
      </c>
    </row>
    <row r="663" spans="1:22" ht="102" x14ac:dyDescent="0.2">
      <c r="A663" s="28" t="s">
        <v>642</v>
      </c>
      <c r="B663" s="28" t="s">
        <v>664</v>
      </c>
      <c r="C663" s="28"/>
      <c r="D663" s="28"/>
      <c r="E663" s="28"/>
      <c r="F663" s="28"/>
      <c r="G663" s="28"/>
      <c r="H663" s="28"/>
      <c r="I663" s="28"/>
      <c r="J663" s="28"/>
      <c r="K663" s="28">
        <v>12</v>
      </c>
      <c r="L663" s="28">
        <v>38</v>
      </c>
      <c r="M663" s="28">
        <v>201</v>
      </c>
      <c r="N663" s="28">
        <v>303</v>
      </c>
      <c r="O663" s="28">
        <v>339</v>
      </c>
      <c r="P663" s="28">
        <v>355</v>
      </c>
      <c r="Q663" s="28">
        <v>466</v>
      </c>
      <c r="R663" s="28">
        <v>410</v>
      </c>
      <c r="S663" s="28">
        <v>373</v>
      </c>
      <c r="T663" s="28">
        <v>411</v>
      </c>
      <c r="U663" s="28">
        <v>482</v>
      </c>
      <c r="V663" s="28">
        <v>637</v>
      </c>
    </row>
    <row r="664" spans="1:22" s="7" customFormat="1" ht="63.75" x14ac:dyDescent="0.2">
      <c r="A664" s="28" t="s">
        <v>642</v>
      </c>
      <c r="B664" s="28" t="s">
        <v>665</v>
      </c>
      <c r="C664" s="28">
        <v>363</v>
      </c>
      <c r="D664" s="28">
        <v>442</v>
      </c>
      <c r="E664" s="28">
        <v>473</v>
      </c>
      <c r="F664" s="28">
        <v>525</v>
      </c>
      <c r="G664" s="28">
        <v>678</v>
      </c>
      <c r="H664" s="28">
        <v>602</v>
      </c>
      <c r="I664" s="28">
        <v>644</v>
      </c>
      <c r="J664" s="28">
        <v>532</v>
      </c>
      <c r="K664" s="28">
        <v>554</v>
      </c>
      <c r="L664" s="28">
        <v>465</v>
      </c>
      <c r="M664" s="28">
        <v>578</v>
      </c>
      <c r="N664" s="28">
        <v>670</v>
      </c>
      <c r="O664" s="28">
        <v>592</v>
      </c>
      <c r="P664" s="28">
        <v>745</v>
      </c>
      <c r="Q664" s="28">
        <v>962</v>
      </c>
      <c r="R664" s="28">
        <v>881</v>
      </c>
      <c r="S664" s="28">
        <v>760</v>
      </c>
      <c r="T664" s="28">
        <v>705</v>
      </c>
      <c r="U664" s="28">
        <v>585</v>
      </c>
      <c r="V664" s="28">
        <v>588</v>
      </c>
    </row>
    <row r="665" spans="1:22" s="7" customFormat="1" ht="63.75" x14ac:dyDescent="0.2">
      <c r="A665" s="28" t="s">
        <v>642</v>
      </c>
      <c r="B665" s="28" t="s">
        <v>666</v>
      </c>
      <c r="C665" s="28">
        <f t="shared" ref="C665:V665" si="210">C668+C679+C734+C743+C992</f>
        <v>11810</v>
      </c>
      <c r="D665" s="28">
        <f t="shared" si="210"/>
        <v>12453</v>
      </c>
      <c r="E665" s="28">
        <f t="shared" si="210"/>
        <v>15206</v>
      </c>
      <c r="F665" s="28">
        <f t="shared" si="210"/>
        <v>15632</v>
      </c>
      <c r="G665" s="28">
        <f t="shared" si="210"/>
        <v>18769</v>
      </c>
      <c r="H665" s="28">
        <f t="shared" si="210"/>
        <v>19636</v>
      </c>
      <c r="I665" s="28">
        <f t="shared" si="210"/>
        <v>19967</v>
      </c>
      <c r="J665" s="28">
        <f t="shared" si="210"/>
        <v>20155</v>
      </c>
      <c r="K665" s="28">
        <f t="shared" si="210"/>
        <v>19931</v>
      </c>
      <c r="L665" s="28">
        <f t="shared" si="210"/>
        <v>20846</v>
      </c>
      <c r="M665" s="28">
        <f t="shared" si="210"/>
        <v>25769</v>
      </c>
      <c r="N665" s="28">
        <f t="shared" si="210"/>
        <v>25499</v>
      </c>
      <c r="O665" s="28">
        <f t="shared" si="210"/>
        <v>32798</v>
      </c>
      <c r="P665" s="28">
        <f t="shared" si="210"/>
        <v>36308</v>
      </c>
      <c r="Q665" s="28">
        <f t="shared" si="210"/>
        <v>38941</v>
      </c>
      <c r="R665" s="28">
        <f t="shared" si="210"/>
        <v>40358</v>
      </c>
      <c r="S665" s="28">
        <f t="shared" si="210"/>
        <v>39057</v>
      </c>
      <c r="T665" s="28">
        <f t="shared" si="210"/>
        <v>41647</v>
      </c>
      <c r="U665" s="28">
        <f t="shared" si="210"/>
        <v>32716</v>
      </c>
      <c r="V665" s="28">
        <f t="shared" si="210"/>
        <v>31800</v>
      </c>
    </row>
    <row r="666" spans="1:22" s="7" customFormat="1" ht="76.5" x14ac:dyDescent="0.2">
      <c r="A666" s="28" t="s">
        <v>642</v>
      </c>
      <c r="B666" s="28" t="s">
        <v>667</v>
      </c>
      <c r="C666" s="28">
        <f t="shared" ref="C666:V666" si="211">C709+C733+C745+C815</f>
        <v>0</v>
      </c>
      <c r="D666" s="28">
        <f t="shared" si="211"/>
        <v>0</v>
      </c>
      <c r="E666" s="28">
        <f t="shared" si="211"/>
        <v>0</v>
      </c>
      <c r="F666" s="28">
        <f t="shared" si="211"/>
        <v>0</v>
      </c>
      <c r="G666" s="28">
        <f t="shared" si="211"/>
        <v>1297</v>
      </c>
      <c r="H666" s="28">
        <f t="shared" si="211"/>
        <v>1165</v>
      </c>
      <c r="I666" s="28">
        <f t="shared" si="211"/>
        <v>855</v>
      </c>
      <c r="J666" s="28">
        <f t="shared" si="211"/>
        <v>817</v>
      </c>
      <c r="K666" s="28">
        <f t="shared" si="211"/>
        <v>622</v>
      </c>
      <c r="L666" s="28">
        <f t="shared" si="211"/>
        <v>410</v>
      </c>
      <c r="M666" s="28">
        <f t="shared" si="211"/>
        <v>622</v>
      </c>
      <c r="N666" s="28">
        <f t="shared" si="211"/>
        <v>1618</v>
      </c>
      <c r="O666" s="28">
        <f t="shared" si="211"/>
        <v>2365</v>
      </c>
      <c r="P666" s="28">
        <f t="shared" si="211"/>
        <v>2627</v>
      </c>
      <c r="Q666" s="28">
        <f t="shared" si="211"/>
        <v>3347</v>
      </c>
      <c r="R666" s="28">
        <f t="shared" si="211"/>
        <v>3092</v>
      </c>
      <c r="S666" s="28">
        <f t="shared" si="211"/>
        <v>5158</v>
      </c>
      <c r="T666" s="28">
        <f t="shared" si="211"/>
        <v>4507</v>
      </c>
      <c r="U666" s="28">
        <f t="shared" si="211"/>
        <v>4091</v>
      </c>
      <c r="V666" s="28">
        <f t="shared" si="211"/>
        <v>3812</v>
      </c>
    </row>
    <row r="667" spans="1:22" s="7" customFormat="1" ht="76.5" x14ac:dyDescent="0.2">
      <c r="A667" s="28" t="s">
        <v>642</v>
      </c>
      <c r="B667" s="28" t="s">
        <v>668</v>
      </c>
      <c r="C667" s="28">
        <f t="shared" ref="C667:V667" si="212">C707+C735+C744+C803</f>
        <v>0</v>
      </c>
      <c r="D667" s="28">
        <f t="shared" si="212"/>
        <v>0</v>
      </c>
      <c r="E667" s="28">
        <f t="shared" si="212"/>
        <v>0</v>
      </c>
      <c r="F667" s="28">
        <f t="shared" si="212"/>
        <v>0</v>
      </c>
      <c r="G667" s="28">
        <f t="shared" si="212"/>
        <v>821</v>
      </c>
      <c r="H667" s="28">
        <f t="shared" si="212"/>
        <v>704</v>
      </c>
      <c r="I667" s="28">
        <f t="shared" si="212"/>
        <v>800</v>
      </c>
      <c r="J667" s="28">
        <f t="shared" si="212"/>
        <v>856</v>
      </c>
      <c r="K667" s="28">
        <f t="shared" si="212"/>
        <v>755</v>
      </c>
      <c r="L667" s="28">
        <f t="shared" si="212"/>
        <v>580</v>
      </c>
      <c r="M667" s="28">
        <f t="shared" si="212"/>
        <v>334</v>
      </c>
      <c r="N667" s="28">
        <f t="shared" si="212"/>
        <v>472</v>
      </c>
      <c r="O667" s="28">
        <f t="shared" si="212"/>
        <v>606</v>
      </c>
      <c r="P667" s="28">
        <f t="shared" si="212"/>
        <v>405</v>
      </c>
      <c r="Q667" s="28">
        <f t="shared" si="212"/>
        <v>475</v>
      </c>
      <c r="R667" s="28">
        <f t="shared" si="212"/>
        <v>452</v>
      </c>
      <c r="S667" s="28">
        <f t="shared" si="212"/>
        <v>463</v>
      </c>
      <c r="T667" s="28">
        <f t="shared" si="212"/>
        <v>301</v>
      </c>
      <c r="U667" s="28">
        <f t="shared" si="212"/>
        <v>366</v>
      </c>
      <c r="V667" s="28">
        <f t="shared" si="212"/>
        <v>356</v>
      </c>
    </row>
    <row r="668" spans="1:22" s="7" customFormat="1" ht="76.5" x14ac:dyDescent="0.2">
      <c r="A668" s="28" t="s">
        <v>642</v>
      </c>
      <c r="B668" s="28" t="s">
        <v>669</v>
      </c>
      <c r="C668" s="28">
        <f>SUM(C669:C678)</f>
        <v>9704</v>
      </c>
      <c r="D668" s="28">
        <f t="shared" ref="D668:V668" si="213">SUM(D669:D678)</f>
        <v>10151</v>
      </c>
      <c r="E668" s="28">
        <f t="shared" si="213"/>
        <v>12516</v>
      </c>
      <c r="F668" s="28">
        <f t="shared" si="213"/>
        <v>13235</v>
      </c>
      <c r="G668" s="28">
        <f t="shared" si="213"/>
        <v>15223</v>
      </c>
      <c r="H668" s="28">
        <f t="shared" si="213"/>
        <v>15199</v>
      </c>
      <c r="I668" s="28">
        <f t="shared" si="213"/>
        <v>14870</v>
      </c>
      <c r="J668" s="28">
        <f t="shared" si="213"/>
        <v>14869</v>
      </c>
      <c r="K668" s="28">
        <f t="shared" si="213"/>
        <v>15843</v>
      </c>
      <c r="L668" s="28">
        <f t="shared" si="213"/>
        <v>17466</v>
      </c>
      <c r="M668" s="28">
        <f t="shared" si="213"/>
        <v>21901</v>
      </c>
      <c r="N668" s="28">
        <f t="shared" si="213"/>
        <v>21141</v>
      </c>
      <c r="O668" s="28">
        <f t="shared" si="213"/>
        <v>27197</v>
      </c>
      <c r="P668" s="28">
        <f t="shared" si="213"/>
        <v>29203</v>
      </c>
      <c r="Q668" s="28">
        <f t="shared" si="213"/>
        <v>31860</v>
      </c>
      <c r="R668" s="28">
        <f t="shared" si="213"/>
        <v>32422</v>
      </c>
      <c r="S668" s="28">
        <f t="shared" si="213"/>
        <v>31592</v>
      </c>
      <c r="T668" s="28">
        <f t="shared" si="213"/>
        <v>34775</v>
      </c>
      <c r="U668" s="28">
        <f t="shared" si="213"/>
        <v>26348</v>
      </c>
      <c r="V668" s="28">
        <f t="shared" si="213"/>
        <v>25015</v>
      </c>
    </row>
    <row r="669" spans="1:22" s="7" customFormat="1" ht="63.75" x14ac:dyDescent="0.2">
      <c r="A669" s="28" t="s">
        <v>670</v>
      </c>
      <c r="B669" s="28" t="s">
        <v>671</v>
      </c>
      <c r="C669" s="28">
        <v>392</v>
      </c>
      <c r="D669" s="28">
        <v>182</v>
      </c>
      <c r="E669" s="28">
        <v>220</v>
      </c>
      <c r="F669" s="28">
        <v>284</v>
      </c>
      <c r="G669" s="28">
        <v>463</v>
      </c>
      <c r="H669" s="28">
        <v>374</v>
      </c>
      <c r="I669" s="28">
        <v>352</v>
      </c>
      <c r="J669" s="28">
        <v>342</v>
      </c>
      <c r="K669" s="28">
        <v>468</v>
      </c>
      <c r="L669" s="28">
        <v>594</v>
      </c>
      <c r="M669" s="28">
        <v>1890</v>
      </c>
      <c r="N669" s="28">
        <v>980</v>
      </c>
      <c r="O669" s="28">
        <v>482</v>
      </c>
      <c r="P669" s="28">
        <v>301</v>
      </c>
      <c r="Q669" s="28">
        <v>345</v>
      </c>
      <c r="R669" s="28">
        <v>421</v>
      </c>
      <c r="S669" s="28">
        <f>566+105</f>
        <v>671</v>
      </c>
      <c r="T669" s="28">
        <v>444</v>
      </c>
      <c r="U669" s="28">
        <v>412</v>
      </c>
      <c r="V669" s="28">
        <f>412</f>
        <v>412</v>
      </c>
    </row>
    <row r="670" spans="1:22" s="7" customFormat="1" ht="63.75" x14ac:dyDescent="0.2">
      <c r="A670" s="28" t="s">
        <v>670</v>
      </c>
      <c r="B670" s="28" t="s">
        <v>672</v>
      </c>
      <c r="C670" s="28"/>
      <c r="D670" s="28"/>
      <c r="E670" s="28"/>
      <c r="F670" s="28"/>
      <c r="G670" s="28"/>
      <c r="H670" s="28"/>
      <c r="I670" s="28"/>
      <c r="J670" s="28"/>
      <c r="K670" s="28"/>
      <c r="L670" s="28"/>
      <c r="M670" s="28"/>
      <c r="N670" s="28"/>
      <c r="O670" s="28">
        <v>781</v>
      </c>
      <c r="P670" s="28">
        <v>36</v>
      </c>
      <c r="Q670" s="28">
        <v>57</v>
      </c>
      <c r="R670" s="28">
        <v>71</v>
      </c>
      <c r="S670" s="28">
        <f>84+5</f>
        <v>89</v>
      </c>
      <c r="T670" s="28">
        <v>46</v>
      </c>
      <c r="U670" s="28">
        <v>333</v>
      </c>
      <c r="V670" s="28">
        <f>90</f>
        <v>90</v>
      </c>
    </row>
    <row r="671" spans="1:22" s="7" customFormat="1" ht="63.75" x14ac:dyDescent="0.2">
      <c r="A671" s="28" t="s">
        <v>670</v>
      </c>
      <c r="B671" s="28" t="s">
        <v>673</v>
      </c>
      <c r="C671" s="28"/>
      <c r="D671" s="28">
        <v>66</v>
      </c>
      <c r="E671" s="28">
        <v>82</v>
      </c>
      <c r="F671" s="28">
        <v>150</v>
      </c>
      <c r="G671" s="28">
        <v>146</v>
      </c>
      <c r="H671" s="28">
        <v>165</v>
      </c>
      <c r="I671" s="28">
        <v>158</v>
      </c>
      <c r="J671" s="28">
        <v>215</v>
      </c>
      <c r="K671" s="28">
        <v>203</v>
      </c>
      <c r="L671" s="28">
        <v>213</v>
      </c>
      <c r="M671" s="28">
        <v>159</v>
      </c>
      <c r="N671" s="28">
        <v>218</v>
      </c>
      <c r="O671" s="28">
        <v>204</v>
      </c>
      <c r="P671" s="28">
        <v>264</v>
      </c>
      <c r="Q671" s="28">
        <v>262</v>
      </c>
      <c r="R671" s="28">
        <v>229</v>
      </c>
      <c r="S671" s="28">
        <v>219</v>
      </c>
      <c r="T671" s="28">
        <v>208</v>
      </c>
      <c r="U671" s="28">
        <v>220</v>
      </c>
      <c r="V671" s="28">
        <f>348+3</f>
        <v>351</v>
      </c>
    </row>
    <row r="672" spans="1:22" s="7" customFormat="1" ht="63.75" x14ac:dyDescent="0.2">
      <c r="A672" s="28" t="s">
        <v>670</v>
      </c>
      <c r="B672" s="28" t="s">
        <v>674</v>
      </c>
      <c r="C672" s="28"/>
      <c r="D672" s="28"/>
      <c r="E672" s="28"/>
      <c r="F672" s="28"/>
      <c r="G672" s="28"/>
      <c r="H672" s="28"/>
      <c r="I672" s="28"/>
      <c r="J672" s="28"/>
      <c r="K672" s="28"/>
      <c r="L672" s="28">
        <v>950</v>
      </c>
      <c r="M672" s="28">
        <v>1955</v>
      </c>
      <c r="N672" s="28">
        <v>1884</v>
      </c>
      <c r="O672" s="28">
        <v>1758</v>
      </c>
      <c r="P672" s="28">
        <v>2367</v>
      </c>
      <c r="Q672" s="28">
        <v>2711</v>
      </c>
      <c r="R672" s="28">
        <f>1094+2236+88</f>
        <v>3418</v>
      </c>
      <c r="S672" s="28">
        <f>2255+118+1124</f>
        <v>3497</v>
      </c>
      <c r="T672" s="28">
        <f>1869+88+1217</f>
        <v>3174</v>
      </c>
      <c r="U672" s="28">
        <v>2419</v>
      </c>
      <c r="V672" s="28">
        <f>1512+164+782</f>
        <v>2458</v>
      </c>
    </row>
    <row r="673" spans="1:22" s="7" customFormat="1" ht="89.25" x14ac:dyDescent="0.2">
      <c r="A673" s="28" t="s">
        <v>670</v>
      </c>
      <c r="B673" s="28" t="s">
        <v>675</v>
      </c>
      <c r="C673" s="28"/>
      <c r="D673" s="28"/>
      <c r="E673" s="28"/>
      <c r="F673" s="28"/>
      <c r="G673" s="28"/>
      <c r="H673" s="28"/>
      <c r="I673" s="28"/>
      <c r="J673" s="28"/>
      <c r="K673" s="28"/>
      <c r="L673" s="28"/>
      <c r="M673" s="28"/>
      <c r="N673" s="28">
        <v>1345</v>
      </c>
      <c r="O673" s="28">
        <v>3224</v>
      </c>
      <c r="P673" s="28">
        <v>1854</v>
      </c>
      <c r="Q673" s="28">
        <v>2658</v>
      </c>
      <c r="R673" s="28">
        <v>4329</v>
      </c>
      <c r="S673" s="28">
        <v>6518</v>
      </c>
      <c r="T673" s="28">
        <v>7922</v>
      </c>
      <c r="U673" s="28">
        <v>5579</v>
      </c>
      <c r="V673" s="28">
        <v>1011</v>
      </c>
    </row>
    <row r="674" spans="1:22" s="7" customFormat="1" ht="63.75" x14ac:dyDescent="0.2">
      <c r="A674" s="28" t="s">
        <v>670</v>
      </c>
      <c r="B674" s="28" t="s">
        <v>676</v>
      </c>
      <c r="C674" s="28">
        <v>857</v>
      </c>
      <c r="D674" s="28">
        <v>889</v>
      </c>
      <c r="E674" s="28">
        <v>959</v>
      </c>
      <c r="F674" s="28">
        <v>865</v>
      </c>
      <c r="G674" s="28">
        <v>994</v>
      </c>
      <c r="H674" s="28">
        <v>1056</v>
      </c>
      <c r="I674" s="28">
        <v>1117</v>
      </c>
      <c r="J674" s="28">
        <v>1359</v>
      </c>
      <c r="K674" s="28">
        <v>1413</v>
      </c>
      <c r="L674" s="28">
        <v>1607</v>
      </c>
      <c r="M674" s="28">
        <v>2499</v>
      </c>
      <c r="N674" s="28">
        <v>2276</v>
      </c>
      <c r="O674" s="28">
        <v>2599</v>
      </c>
      <c r="P674" s="28">
        <v>2972</v>
      </c>
      <c r="Q674" s="28">
        <v>3099</v>
      </c>
      <c r="R674" s="28">
        <v>4131</v>
      </c>
      <c r="S674" s="28">
        <f>31+4138+215</f>
        <v>4384</v>
      </c>
      <c r="T674" s="28">
        <f>4560+56</f>
        <v>4616</v>
      </c>
      <c r="U674" s="28">
        <v>5461</v>
      </c>
      <c r="V674" s="28">
        <f>6793</f>
        <v>6793</v>
      </c>
    </row>
    <row r="675" spans="1:22" s="7" customFormat="1" ht="76.5" x14ac:dyDescent="0.2">
      <c r="A675" s="28" t="s">
        <v>670</v>
      </c>
      <c r="B675" s="28" t="s">
        <v>677</v>
      </c>
      <c r="C675" s="28">
        <v>3802</v>
      </c>
      <c r="D675" s="28">
        <v>3917</v>
      </c>
      <c r="E675" s="28">
        <v>3647</v>
      </c>
      <c r="F675" s="28">
        <v>4053</v>
      </c>
      <c r="G675" s="28">
        <v>5654</v>
      </c>
      <c r="H675" s="28">
        <v>5805</v>
      </c>
      <c r="I675" s="28">
        <v>5437</v>
      </c>
      <c r="J675" s="28">
        <v>5709</v>
      </c>
      <c r="K675" s="28">
        <v>6706</v>
      </c>
      <c r="L675" s="28">
        <v>7218</v>
      </c>
      <c r="M675" s="28">
        <v>6571</v>
      </c>
      <c r="N675" s="28">
        <v>6337</v>
      </c>
      <c r="O675" s="28">
        <v>6535</v>
      </c>
      <c r="P675" s="28">
        <v>7234</v>
      </c>
      <c r="Q675" s="28">
        <v>7642</v>
      </c>
      <c r="R675" s="28">
        <v>7322</v>
      </c>
      <c r="S675" s="28">
        <f>5718+1251</f>
        <v>6969</v>
      </c>
      <c r="T675" s="28">
        <v>6287</v>
      </c>
      <c r="U675" s="28">
        <v>5631</v>
      </c>
      <c r="V675" s="28">
        <f>981+5787</f>
        <v>6768</v>
      </c>
    </row>
    <row r="676" spans="1:22" s="7" customFormat="1" ht="63.75" x14ac:dyDescent="0.2">
      <c r="A676" s="28" t="s">
        <v>670</v>
      </c>
      <c r="B676" s="28" t="s">
        <v>678</v>
      </c>
      <c r="C676" s="28">
        <v>4653</v>
      </c>
      <c r="D676" s="28">
        <v>5097</v>
      </c>
      <c r="E676" s="28">
        <v>7608</v>
      </c>
      <c r="F676" s="28">
        <v>7883</v>
      </c>
      <c r="G676" s="28">
        <v>7966</v>
      </c>
      <c r="H676" s="28">
        <v>7799</v>
      </c>
      <c r="I676" s="28">
        <v>7806</v>
      </c>
      <c r="J676" s="28">
        <v>7244</v>
      </c>
      <c r="K676" s="28">
        <v>7053</v>
      </c>
      <c r="L676" s="28">
        <v>6835</v>
      </c>
      <c r="M676" s="28">
        <v>8016</v>
      </c>
      <c r="N676" s="28">
        <v>7577</v>
      </c>
      <c r="O676" s="28">
        <v>10995</v>
      </c>
      <c r="P676" s="28">
        <v>13399</v>
      </c>
      <c r="Q676" s="28">
        <v>14309</v>
      </c>
      <c r="R676" s="28">
        <v>11832</v>
      </c>
      <c r="S676" s="28">
        <f>366+8247</f>
        <v>8613</v>
      </c>
      <c r="T676" s="28">
        <f>228+10864</f>
        <v>11092</v>
      </c>
      <c r="U676" s="28">
        <f>285+4930</f>
        <v>5215</v>
      </c>
      <c r="V676" s="28">
        <f>173+5394</f>
        <v>5567</v>
      </c>
    </row>
    <row r="677" spans="1:22" s="7" customFormat="1" ht="76.5" x14ac:dyDescent="0.2">
      <c r="A677" s="28" t="s">
        <v>670</v>
      </c>
      <c r="B677" s="28" t="s">
        <v>679</v>
      </c>
      <c r="C677" s="28"/>
      <c r="D677" s="28"/>
      <c r="E677" s="28"/>
      <c r="F677" s="28"/>
      <c r="G677" s="28"/>
      <c r="H677" s="28"/>
      <c r="I677" s="28"/>
      <c r="J677" s="28"/>
      <c r="K677" s="28"/>
      <c r="L677" s="28">
        <v>49</v>
      </c>
      <c r="M677" s="28">
        <v>811</v>
      </c>
      <c r="N677" s="28">
        <v>524</v>
      </c>
      <c r="O677" s="28">
        <v>619</v>
      </c>
      <c r="P677" s="28">
        <v>776</v>
      </c>
      <c r="Q677" s="28">
        <v>777</v>
      </c>
      <c r="R677" s="28">
        <v>633</v>
      </c>
      <c r="S677" s="28">
        <v>556</v>
      </c>
      <c r="T677" s="28">
        <v>935</v>
      </c>
      <c r="U677" s="28">
        <v>1028</v>
      </c>
      <c r="V677" s="28">
        <f>1514+7</f>
        <v>1521</v>
      </c>
    </row>
    <row r="678" spans="1:22" s="7" customFormat="1" ht="63.75" x14ac:dyDescent="0.2">
      <c r="A678" s="28" t="s">
        <v>670</v>
      </c>
      <c r="B678" s="28" t="s">
        <v>680</v>
      </c>
      <c r="C678" s="28"/>
      <c r="D678" s="28"/>
      <c r="E678" s="28"/>
      <c r="F678" s="28"/>
      <c r="G678" s="28"/>
      <c r="H678" s="28"/>
      <c r="I678" s="28"/>
      <c r="J678" s="28"/>
      <c r="K678" s="28"/>
      <c r="L678" s="28"/>
      <c r="M678" s="28"/>
      <c r="N678" s="28"/>
      <c r="O678" s="28"/>
      <c r="P678" s="28"/>
      <c r="Q678" s="28"/>
      <c r="R678" s="28">
        <v>36</v>
      </c>
      <c r="S678" s="28">
        <f>39+37</f>
        <v>76</v>
      </c>
      <c r="T678" s="28">
        <v>51</v>
      </c>
      <c r="U678" s="28">
        <v>50</v>
      </c>
      <c r="V678" s="28">
        <v>44</v>
      </c>
    </row>
    <row r="679" spans="1:22" s="7" customFormat="1" ht="63.75" x14ac:dyDescent="0.2">
      <c r="A679" s="28" t="s">
        <v>670</v>
      </c>
      <c r="B679" s="28" t="s">
        <v>681</v>
      </c>
      <c r="C679" s="28">
        <f>SUM(C680:C686)</f>
        <v>237</v>
      </c>
      <c r="D679" s="28">
        <f t="shared" ref="D679:V679" si="214">SUM(D680:D686)</f>
        <v>201</v>
      </c>
      <c r="E679" s="28">
        <f t="shared" si="214"/>
        <v>316</v>
      </c>
      <c r="F679" s="28">
        <f t="shared" si="214"/>
        <v>202</v>
      </c>
      <c r="G679" s="28">
        <f t="shared" si="214"/>
        <v>822</v>
      </c>
      <c r="H679" s="28">
        <f t="shared" si="214"/>
        <v>1110</v>
      </c>
      <c r="I679" s="28">
        <f t="shared" si="214"/>
        <v>1169</v>
      </c>
      <c r="J679" s="28">
        <f t="shared" si="214"/>
        <v>1154</v>
      </c>
      <c r="K679" s="28">
        <f t="shared" si="214"/>
        <v>840</v>
      </c>
      <c r="L679" s="28">
        <f t="shared" si="214"/>
        <v>848</v>
      </c>
      <c r="M679" s="28">
        <f t="shared" si="214"/>
        <v>1167</v>
      </c>
      <c r="N679" s="28">
        <f t="shared" si="214"/>
        <v>1369</v>
      </c>
      <c r="O679" s="28">
        <f t="shared" si="214"/>
        <v>2013</v>
      </c>
      <c r="P679" s="28">
        <f t="shared" si="214"/>
        <v>3424</v>
      </c>
      <c r="Q679" s="28">
        <f t="shared" si="214"/>
        <v>3404</v>
      </c>
      <c r="R679" s="28">
        <f t="shared" si="214"/>
        <v>4126</v>
      </c>
      <c r="S679" s="28">
        <f t="shared" si="214"/>
        <v>3433</v>
      </c>
      <c r="T679" s="28">
        <f t="shared" si="214"/>
        <v>3640</v>
      </c>
      <c r="U679" s="28">
        <f t="shared" si="214"/>
        <v>3690</v>
      </c>
      <c r="V679" s="28">
        <f t="shared" si="214"/>
        <v>4141</v>
      </c>
    </row>
    <row r="680" spans="1:22" s="7" customFormat="1" ht="89.25" x14ac:dyDescent="0.2">
      <c r="A680" s="28" t="s">
        <v>670</v>
      </c>
      <c r="B680" s="28" t="s">
        <v>682</v>
      </c>
      <c r="C680" s="28"/>
      <c r="D680" s="28"/>
      <c r="E680" s="28"/>
      <c r="F680" s="28"/>
      <c r="G680" s="28">
        <v>348</v>
      </c>
      <c r="H680" s="28">
        <v>438</v>
      </c>
      <c r="I680" s="28">
        <v>393</v>
      </c>
      <c r="J680" s="28">
        <v>320</v>
      </c>
      <c r="K680" s="28">
        <v>254</v>
      </c>
      <c r="L680" s="28">
        <v>204</v>
      </c>
      <c r="M680" s="28">
        <v>254</v>
      </c>
      <c r="N680" s="28">
        <v>420</v>
      </c>
      <c r="O680" s="28">
        <v>691</v>
      </c>
      <c r="P680" s="28">
        <v>985</v>
      </c>
      <c r="Q680" s="28">
        <v>1861</v>
      </c>
      <c r="R680" s="28">
        <v>2514</v>
      </c>
      <c r="S680" s="28">
        <v>2535</v>
      </c>
      <c r="T680" s="28">
        <f>2517+15</f>
        <v>2532</v>
      </c>
      <c r="U680" s="28">
        <f>2751+13</f>
        <v>2764</v>
      </c>
      <c r="V680" s="28">
        <f>3234+17</f>
        <v>3251</v>
      </c>
    </row>
    <row r="681" spans="1:22" s="7" customFormat="1" ht="76.5" x14ac:dyDescent="0.2">
      <c r="A681" s="28" t="s">
        <v>670</v>
      </c>
      <c r="B681" s="28" t="s">
        <v>683</v>
      </c>
      <c r="C681" s="28">
        <v>0</v>
      </c>
      <c r="D681" s="28">
        <v>0</v>
      </c>
      <c r="E681" s="28">
        <v>0</v>
      </c>
      <c r="F681" s="28">
        <v>0</v>
      </c>
      <c r="G681" s="28">
        <v>0</v>
      </c>
      <c r="H681" s="28">
        <v>0</v>
      </c>
      <c r="I681" s="28">
        <v>0</v>
      </c>
      <c r="J681" s="28">
        <v>0</v>
      </c>
      <c r="K681" s="28">
        <v>0</v>
      </c>
      <c r="L681" s="28">
        <v>0</v>
      </c>
      <c r="M681" s="28">
        <v>0</v>
      </c>
      <c r="N681" s="28">
        <v>0</v>
      </c>
      <c r="O681" s="28">
        <v>0</v>
      </c>
      <c r="P681" s="28">
        <v>0</v>
      </c>
      <c r="Q681" s="28">
        <v>0</v>
      </c>
      <c r="R681" s="28">
        <v>0</v>
      </c>
      <c r="S681" s="28">
        <v>0</v>
      </c>
      <c r="T681" s="28">
        <v>0</v>
      </c>
      <c r="U681" s="28">
        <v>0</v>
      </c>
      <c r="V681" s="28">
        <v>0</v>
      </c>
    </row>
    <row r="682" spans="1:22" s="7" customFormat="1" ht="89.25" x14ac:dyDescent="0.2">
      <c r="A682" s="28" t="s">
        <v>670</v>
      </c>
      <c r="B682" s="28" t="s">
        <v>684</v>
      </c>
      <c r="C682" s="28">
        <v>0</v>
      </c>
      <c r="D682" s="28">
        <v>0</v>
      </c>
      <c r="E682" s="28">
        <v>0</v>
      </c>
      <c r="F682" s="28">
        <v>0</v>
      </c>
      <c r="G682" s="28">
        <v>0</v>
      </c>
      <c r="H682" s="28">
        <v>0</v>
      </c>
      <c r="I682" s="28">
        <v>0</v>
      </c>
      <c r="J682" s="28">
        <v>0</v>
      </c>
      <c r="K682" s="28">
        <v>0</v>
      </c>
      <c r="L682" s="28">
        <v>0</v>
      </c>
      <c r="M682" s="28">
        <v>0</v>
      </c>
      <c r="N682" s="28">
        <v>13</v>
      </c>
      <c r="O682" s="28">
        <v>23</v>
      </c>
      <c r="P682" s="28">
        <v>0</v>
      </c>
      <c r="Q682" s="28">
        <v>32</v>
      </c>
      <c r="R682" s="28">
        <v>25</v>
      </c>
      <c r="S682" s="28">
        <v>17</v>
      </c>
      <c r="T682" s="28">
        <v>16</v>
      </c>
      <c r="U682" s="28">
        <v>15</v>
      </c>
      <c r="V682" s="28">
        <v>7</v>
      </c>
    </row>
    <row r="683" spans="1:22" s="7" customFormat="1" ht="76.5" x14ac:dyDescent="0.2">
      <c r="A683" s="28" t="s">
        <v>670</v>
      </c>
      <c r="B683" s="28" t="s">
        <v>685</v>
      </c>
      <c r="C683" s="28">
        <v>0</v>
      </c>
      <c r="D683" s="28">
        <v>0</v>
      </c>
      <c r="E683" s="28">
        <v>0</v>
      </c>
      <c r="F683" s="28">
        <v>0</v>
      </c>
      <c r="G683" s="28">
        <v>0</v>
      </c>
      <c r="H683" s="28">
        <v>0</v>
      </c>
      <c r="I683" s="28">
        <v>0</v>
      </c>
      <c r="J683" s="28">
        <v>0</v>
      </c>
      <c r="K683" s="28">
        <v>0</v>
      </c>
      <c r="L683" s="28">
        <v>0</v>
      </c>
      <c r="M683" s="28">
        <v>0</v>
      </c>
      <c r="N683" s="28">
        <v>0</v>
      </c>
      <c r="O683" s="28">
        <v>0</v>
      </c>
      <c r="P683" s="28">
        <v>0</v>
      </c>
      <c r="Q683" s="28">
        <v>0</v>
      </c>
      <c r="R683" s="28">
        <v>74</v>
      </c>
      <c r="S683" s="28">
        <v>0</v>
      </c>
      <c r="T683" s="28">
        <v>91</v>
      </c>
      <c r="U683" s="28">
        <v>50</v>
      </c>
      <c r="V683" s="28">
        <v>36</v>
      </c>
    </row>
    <row r="684" spans="1:22" s="7" customFormat="1" ht="89.25" x14ac:dyDescent="0.2">
      <c r="A684" s="28" t="s">
        <v>670</v>
      </c>
      <c r="B684" s="28" t="s">
        <v>686</v>
      </c>
      <c r="C684" s="28">
        <v>0</v>
      </c>
      <c r="D684" s="28">
        <v>0</v>
      </c>
      <c r="E684" s="28">
        <v>0</v>
      </c>
      <c r="F684" s="28">
        <v>0</v>
      </c>
      <c r="G684" s="28">
        <v>0</v>
      </c>
      <c r="H684" s="28">
        <v>0</v>
      </c>
      <c r="I684" s="28">
        <v>0</v>
      </c>
      <c r="J684" s="28">
        <v>0</v>
      </c>
      <c r="K684" s="28">
        <v>0</v>
      </c>
      <c r="L684" s="28">
        <v>73</v>
      </c>
      <c r="M684" s="28">
        <v>416</v>
      </c>
      <c r="N684" s="28">
        <v>484</v>
      </c>
      <c r="O684" s="28">
        <v>523</v>
      </c>
      <c r="P684" s="28">
        <v>1854</v>
      </c>
      <c r="Q684" s="28">
        <v>764</v>
      </c>
      <c r="R684" s="28">
        <v>328</v>
      </c>
      <c r="S684" s="28">
        <v>97</v>
      </c>
      <c r="T684" s="28">
        <v>74</v>
      </c>
      <c r="U684" s="28">
        <v>16</v>
      </c>
      <c r="V684" s="28">
        <v>7</v>
      </c>
    </row>
    <row r="685" spans="1:22" s="7" customFormat="1" ht="76.5" x14ac:dyDescent="0.2">
      <c r="A685" s="28" t="s">
        <v>670</v>
      </c>
      <c r="B685" s="28" t="s">
        <v>687</v>
      </c>
      <c r="C685" s="28">
        <v>237</v>
      </c>
      <c r="D685" s="28">
        <v>201</v>
      </c>
      <c r="E685" s="28">
        <v>316</v>
      </c>
      <c r="F685" s="28">
        <v>202</v>
      </c>
      <c r="G685" s="28">
        <v>474</v>
      </c>
      <c r="H685" s="28">
        <v>672</v>
      </c>
      <c r="I685" s="28">
        <v>776</v>
      </c>
      <c r="J685" s="28">
        <v>834</v>
      </c>
      <c r="K685" s="28">
        <v>586</v>
      </c>
      <c r="L685" s="28">
        <v>571</v>
      </c>
      <c r="M685" s="28">
        <v>497</v>
      </c>
      <c r="N685" s="28">
        <v>452</v>
      </c>
      <c r="O685" s="28">
        <v>776</v>
      </c>
      <c r="P685" s="28">
        <v>585</v>
      </c>
      <c r="Q685" s="28">
        <v>747</v>
      </c>
      <c r="R685" s="28">
        <f>320+865</f>
        <v>1185</v>
      </c>
      <c r="S685" s="28">
        <v>784</v>
      </c>
      <c r="T685" s="28">
        <f>76+851</f>
        <v>927</v>
      </c>
      <c r="U685" s="28">
        <f>97+748</f>
        <v>845</v>
      </c>
      <c r="V685" s="28">
        <v>763</v>
      </c>
    </row>
    <row r="686" spans="1:22" s="7" customFormat="1" ht="76.5" x14ac:dyDescent="0.2">
      <c r="A686" s="28" t="s">
        <v>670</v>
      </c>
      <c r="B686" s="28" t="s">
        <v>688</v>
      </c>
      <c r="C686" s="28"/>
      <c r="D686" s="28"/>
      <c r="E686" s="28"/>
      <c r="F686" s="28"/>
      <c r="G686" s="28"/>
      <c r="H686" s="28"/>
      <c r="I686" s="28"/>
      <c r="J686" s="28"/>
      <c r="K686" s="28"/>
      <c r="L686" s="28"/>
      <c r="M686" s="28"/>
      <c r="N686" s="28"/>
      <c r="O686" s="28"/>
      <c r="P686" s="28"/>
      <c r="Q686" s="28"/>
      <c r="R686" s="28"/>
      <c r="S686" s="28"/>
      <c r="T686" s="28"/>
      <c r="U686" s="28"/>
      <c r="V686" s="28">
        <v>77</v>
      </c>
    </row>
    <row r="687" spans="1:22" s="7" customFormat="1" ht="51" x14ac:dyDescent="0.2">
      <c r="A687" s="28" t="s">
        <v>689</v>
      </c>
      <c r="B687" s="28" t="s">
        <v>690</v>
      </c>
      <c r="C687" s="28"/>
      <c r="D687" s="28"/>
      <c r="E687" s="28"/>
      <c r="F687" s="28"/>
      <c r="G687" s="28"/>
      <c r="H687" s="28"/>
      <c r="I687" s="28">
        <v>494</v>
      </c>
      <c r="J687" s="28">
        <v>489</v>
      </c>
      <c r="K687" s="28">
        <v>293</v>
      </c>
      <c r="L687" s="28">
        <v>269</v>
      </c>
      <c r="M687" s="28">
        <v>350</v>
      </c>
      <c r="N687" s="28">
        <v>321</v>
      </c>
      <c r="O687" s="28">
        <v>440</v>
      </c>
      <c r="P687" s="28">
        <v>524</v>
      </c>
      <c r="Q687" s="28">
        <v>597</v>
      </c>
      <c r="R687" s="28">
        <v>746</v>
      </c>
      <c r="S687" s="28">
        <v>741</v>
      </c>
      <c r="T687" s="28">
        <v>846</v>
      </c>
      <c r="U687" s="28">
        <v>901</v>
      </c>
      <c r="V687" s="28">
        <v>876</v>
      </c>
    </row>
    <row r="688" spans="1:22" s="7" customFormat="1" ht="63.75" x14ac:dyDescent="0.2">
      <c r="A688" s="28" t="s">
        <v>689</v>
      </c>
      <c r="B688" s="28" t="s">
        <v>691</v>
      </c>
      <c r="C688" s="28"/>
      <c r="D688" s="28"/>
      <c r="E688" s="28"/>
      <c r="F688" s="28"/>
      <c r="G688" s="28"/>
      <c r="H688" s="28"/>
      <c r="I688" s="28"/>
      <c r="J688" s="28"/>
      <c r="K688" s="28"/>
      <c r="L688" s="28"/>
      <c r="M688" s="28">
        <v>52</v>
      </c>
      <c r="N688" s="28">
        <v>21</v>
      </c>
      <c r="O688" s="28">
        <v>20</v>
      </c>
      <c r="P688" s="28">
        <v>16</v>
      </c>
      <c r="Q688" s="28">
        <v>19</v>
      </c>
      <c r="R688" s="28">
        <v>21</v>
      </c>
      <c r="S688" s="28">
        <v>10</v>
      </c>
      <c r="T688" s="28">
        <v>17</v>
      </c>
      <c r="U688" s="28">
        <v>12</v>
      </c>
      <c r="V688" s="28">
        <v>23</v>
      </c>
    </row>
    <row r="689" spans="1:22" s="7" customFormat="1" ht="63.75" x14ac:dyDescent="0.2">
      <c r="A689" s="28" t="s">
        <v>689</v>
      </c>
      <c r="B689" s="28" t="s">
        <v>692</v>
      </c>
      <c r="C689" s="28"/>
      <c r="D689" s="28"/>
      <c r="E689" s="28"/>
      <c r="F689" s="28"/>
      <c r="G689" s="28"/>
      <c r="H689" s="28"/>
      <c r="I689" s="28"/>
      <c r="J689" s="28"/>
      <c r="K689" s="28"/>
      <c r="L689" s="28"/>
      <c r="M689" s="28"/>
      <c r="N689" s="28">
        <v>109</v>
      </c>
      <c r="O689" s="28">
        <v>100</v>
      </c>
      <c r="P689" s="28">
        <v>136</v>
      </c>
      <c r="Q689" s="28">
        <v>154</v>
      </c>
      <c r="R689" s="28">
        <v>176</v>
      </c>
      <c r="S689" s="28">
        <v>156</v>
      </c>
      <c r="T689" s="28">
        <v>197</v>
      </c>
      <c r="U689" s="28">
        <v>263</v>
      </c>
      <c r="V689" s="28">
        <v>225</v>
      </c>
    </row>
    <row r="690" spans="1:22" s="7" customFormat="1" ht="63.75" x14ac:dyDescent="0.2">
      <c r="A690" s="28" t="s">
        <v>689</v>
      </c>
      <c r="B690" s="28" t="s">
        <v>693</v>
      </c>
      <c r="C690" s="28"/>
      <c r="D690" s="28"/>
      <c r="E690" s="28"/>
      <c r="F690" s="28"/>
      <c r="G690" s="28"/>
      <c r="H690" s="28"/>
      <c r="I690" s="28"/>
      <c r="J690" s="28"/>
      <c r="K690" s="28"/>
      <c r="L690" s="28"/>
      <c r="M690" s="28"/>
      <c r="N690" s="28">
        <v>56</v>
      </c>
      <c r="O690" s="28">
        <v>75</v>
      </c>
      <c r="P690" s="28">
        <v>74</v>
      </c>
      <c r="Q690" s="28">
        <v>68</v>
      </c>
      <c r="R690" s="28">
        <v>73</v>
      </c>
      <c r="S690" s="28">
        <v>69</v>
      </c>
      <c r="T690" s="28">
        <v>81</v>
      </c>
      <c r="U690" s="28">
        <v>63</v>
      </c>
      <c r="V690" s="28">
        <v>74</v>
      </c>
    </row>
    <row r="691" spans="1:22" s="7" customFormat="1" x14ac:dyDescent="0.2">
      <c r="A691" s="1" t="s">
        <v>689</v>
      </c>
      <c r="B691" s="1" t="s">
        <v>694</v>
      </c>
      <c r="C691" s="1"/>
      <c r="D691" s="1"/>
      <c r="E691" s="1"/>
      <c r="F691" s="1"/>
      <c r="G691" s="1"/>
      <c r="H691" s="1"/>
      <c r="I691" s="1"/>
      <c r="J691" s="1"/>
      <c r="K691" s="1"/>
      <c r="L691" s="1"/>
      <c r="M691" s="1"/>
      <c r="N691" s="1">
        <v>63</v>
      </c>
      <c r="O691" s="1">
        <v>51</v>
      </c>
      <c r="P691" s="1">
        <v>51</v>
      </c>
      <c r="Q691" s="1">
        <v>55</v>
      </c>
      <c r="R691" s="1">
        <v>83</v>
      </c>
      <c r="S691" s="1">
        <v>86</v>
      </c>
      <c r="T691" s="1">
        <v>0</v>
      </c>
      <c r="U691" s="1">
        <v>144</v>
      </c>
      <c r="V691" s="1">
        <v>22</v>
      </c>
    </row>
    <row r="692" spans="1:22" s="7" customFormat="1" x14ac:dyDescent="0.2">
      <c r="A692" s="1" t="s">
        <v>689</v>
      </c>
      <c r="B692" s="1" t="s">
        <v>695</v>
      </c>
      <c r="C692" s="1"/>
      <c r="D692" s="1"/>
      <c r="E692" s="1"/>
      <c r="F692" s="1"/>
      <c r="G692" s="1"/>
      <c r="H692" s="1"/>
      <c r="I692" s="1"/>
      <c r="J692" s="1"/>
      <c r="K692" s="1"/>
      <c r="L692" s="1"/>
      <c r="M692" s="1"/>
      <c r="N692" s="1"/>
      <c r="O692" s="1"/>
      <c r="P692" s="1"/>
      <c r="Q692" s="1"/>
      <c r="R692" s="1"/>
      <c r="S692" s="1">
        <v>147</v>
      </c>
      <c r="T692" s="1">
        <v>417</v>
      </c>
      <c r="U692" s="1">
        <v>397</v>
      </c>
      <c r="V692" s="1">
        <v>568</v>
      </c>
    </row>
    <row r="693" spans="1:22" s="7" customFormat="1" x14ac:dyDescent="0.2">
      <c r="A693" s="1" t="s">
        <v>689</v>
      </c>
      <c r="B693" s="1" t="s">
        <v>696</v>
      </c>
      <c r="C693" s="1"/>
      <c r="D693" s="1"/>
      <c r="E693" s="1"/>
      <c r="F693" s="1"/>
      <c r="G693" s="1"/>
      <c r="H693" s="1"/>
      <c r="I693" s="1"/>
      <c r="J693" s="1"/>
      <c r="K693" s="1"/>
      <c r="L693" s="1"/>
      <c r="M693" s="1"/>
      <c r="N693" s="1"/>
      <c r="O693" s="1"/>
      <c r="P693" s="1">
        <v>6</v>
      </c>
      <c r="Q693" s="1">
        <v>8</v>
      </c>
      <c r="R693" s="1">
        <v>9</v>
      </c>
      <c r="S693" s="1">
        <v>12</v>
      </c>
      <c r="T693" s="1">
        <v>5</v>
      </c>
      <c r="U693" s="1">
        <v>11</v>
      </c>
      <c r="V693" s="1">
        <v>6</v>
      </c>
    </row>
    <row r="694" spans="1:22" s="7" customFormat="1" x14ac:dyDescent="0.2">
      <c r="A694" s="1" t="s">
        <v>689</v>
      </c>
      <c r="B694" s="1" t="s">
        <v>697</v>
      </c>
      <c r="C694" s="1"/>
      <c r="D694" s="1"/>
      <c r="E694" s="1"/>
      <c r="F694" s="1"/>
      <c r="G694" s="1"/>
      <c r="H694" s="1"/>
      <c r="I694" s="1"/>
      <c r="J694" s="1"/>
      <c r="K694" s="1"/>
      <c r="L694" s="1"/>
      <c r="M694" s="1"/>
      <c r="N694" s="1"/>
      <c r="O694" s="1"/>
      <c r="P694" s="1"/>
      <c r="Q694" s="1">
        <v>7</v>
      </c>
      <c r="R694" s="1">
        <v>3</v>
      </c>
      <c r="S694" s="1">
        <v>3</v>
      </c>
      <c r="T694" s="1">
        <v>5</v>
      </c>
      <c r="U694" s="1">
        <v>2</v>
      </c>
      <c r="V694" s="1">
        <v>2</v>
      </c>
    </row>
    <row r="695" spans="1:22" s="7" customFormat="1" x14ac:dyDescent="0.2">
      <c r="A695" s="1" t="s">
        <v>689</v>
      </c>
      <c r="B695" s="1" t="s">
        <v>698</v>
      </c>
      <c r="C695" s="1"/>
      <c r="D695" s="1"/>
      <c r="E695" s="1"/>
      <c r="F695" s="1"/>
      <c r="G695" s="1"/>
      <c r="H695" s="1"/>
      <c r="I695" s="1"/>
      <c r="J695" s="1"/>
      <c r="K695" s="1"/>
      <c r="L695" s="1"/>
      <c r="M695" s="1"/>
      <c r="N695" s="1"/>
      <c r="O695" s="1"/>
      <c r="P695" s="1"/>
      <c r="Q695" s="1"/>
      <c r="R695" s="1">
        <v>198</v>
      </c>
      <c r="S695" s="1">
        <v>159</v>
      </c>
      <c r="T695" s="1">
        <v>203</v>
      </c>
      <c r="U695" s="1">
        <v>222</v>
      </c>
      <c r="V695" s="1">
        <v>287</v>
      </c>
    </row>
    <row r="696" spans="1:22" s="7" customFormat="1" x14ac:dyDescent="0.2">
      <c r="A696" s="1" t="s">
        <v>689</v>
      </c>
      <c r="B696" s="1" t="s">
        <v>699</v>
      </c>
      <c r="C696" s="1"/>
      <c r="D696" s="1"/>
      <c r="E696" s="1"/>
      <c r="F696" s="1"/>
      <c r="G696" s="1"/>
      <c r="H696" s="1"/>
      <c r="I696" s="1"/>
      <c r="J696" s="1"/>
      <c r="K696" s="1"/>
      <c r="L696" s="1"/>
      <c r="M696" s="1"/>
      <c r="N696" s="1"/>
      <c r="O696" s="1"/>
      <c r="P696" s="1">
        <v>134</v>
      </c>
      <c r="Q696" s="1">
        <v>86</v>
      </c>
      <c r="R696" s="1">
        <v>53</v>
      </c>
      <c r="S696" s="1">
        <v>66</v>
      </c>
      <c r="T696" s="1">
        <v>102</v>
      </c>
      <c r="U696" s="1">
        <v>220</v>
      </c>
      <c r="V696" s="1">
        <v>295</v>
      </c>
    </row>
    <row r="697" spans="1:22" s="7" customFormat="1" x14ac:dyDescent="0.2">
      <c r="A697" s="1" t="s">
        <v>689</v>
      </c>
      <c r="B697" s="1" t="s">
        <v>700</v>
      </c>
      <c r="C697" s="1"/>
      <c r="D697" s="1"/>
      <c r="E697" s="1"/>
      <c r="F697" s="1"/>
      <c r="G697" s="1"/>
      <c r="H697" s="1"/>
      <c r="I697" s="1"/>
      <c r="J697" s="1"/>
      <c r="K697" s="1"/>
      <c r="L697" s="1"/>
      <c r="M697" s="1"/>
      <c r="N697" s="1"/>
      <c r="O697" s="1"/>
      <c r="P697" s="1"/>
      <c r="Q697" s="1"/>
      <c r="R697" s="1"/>
      <c r="S697" s="1">
        <v>9</v>
      </c>
      <c r="T697" s="1">
        <v>44</v>
      </c>
      <c r="U697" s="1">
        <v>22</v>
      </c>
      <c r="V697" s="1">
        <v>38</v>
      </c>
    </row>
    <row r="698" spans="1:22" s="7" customFormat="1" x14ac:dyDescent="0.2">
      <c r="A698" s="1" t="s">
        <v>689</v>
      </c>
      <c r="B698" s="1" t="s">
        <v>701</v>
      </c>
      <c r="C698" s="1"/>
      <c r="D698" s="1"/>
      <c r="E698" s="1"/>
      <c r="F698" s="1"/>
      <c r="G698" s="1"/>
      <c r="H698" s="1"/>
      <c r="I698" s="1"/>
      <c r="J698" s="1"/>
      <c r="K698" s="1"/>
      <c r="L698" s="1"/>
      <c r="M698" s="1"/>
      <c r="N698" s="1"/>
      <c r="O698" s="1"/>
      <c r="P698" s="1"/>
      <c r="Q698" s="1"/>
      <c r="R698" s="1"/>
      <c r="S698" s="1"/>
      <c r="T698" s="1">
        <v>11</v>
      </c>
      <c r="U698" s="1">
        <v>8</v>
      </c>
      <c r="V698" s="1">
        <v>20</v>
      </c>
    </row>
    <row r="699" spans="1:22" s="7" customFormat="1" x14ac:dyDescent="0.2">
      <c r="A699" s="1" t="s">
        <v>689</v>
      </c>
      <c r="B699" s="1" t="s">
        <v>702</v>
      </c>
      <c r="C699" s="1"/>
      <c r="D699" s="1"/>
      <c r="E699" s="1"/>
      <c r="F699" s="1"/>
      <c r="G699" s="1"/>
      <c r="H699" s="1"/>
      <c r="I699" s="1"/>
      <c r="J699" s="1"/>
      <c r="K699" s="1"/>
      <c r="L699" s="1"/>
      <c r="M699" s="1"/>
      <c r="N699" s="1"/>
      <c r="O699" s="1"/>
      <c r="P699" s="1"/>
      <c r="Q699" s="1"/>
      <c r="R699" s="1"/>
      <c r="S699" s="1"/>
      <c r="T699" s="1"/>
      <c r="U699" s="1">
        <v>4</v>
      </c>
      <c r="V699" s="1">
        <v>9</v>
      </c>
    </row>
    <row r="700" spans="1:22" s="7" customFormat="1" x14ac:dyDescent="0.2">
      <c r="A700" s="1" t="s">
        <v>689</v>
      </c>
      <c r="B700" s="1" t="s">
        <v>703</v>
      </c>
      <c r="C700" s="1"/>
      <c r="D700" s="1"/>
      <c r="E700" s="1"/>
      <c r="F700" s="1"/>
      <c r="G700" s="1"/>
      <c r="H700" s="1"/>
      <c r="I700" s="1"/>
      <c r="J700" s="1"/>
      <c r="K700" s="1"/>
      <c r="L700" s="1"/>
      <c r="M700" s="1"/>
      <c r="N700" s="1"/>
      <c r="O700" s="1"/>
      <c r="P700" s="1"/>
      <c r="Q700" s="1"/>
      <c r="R700" s="1"/>
      <c r="S700" s="1"/>
      <c r="T700" s="1"/>
      <c r="U700" s="1">
        <v>4</v>
      </c>
      <c r="V700" s="1">
        <v>1</v>
      </c>
    </row>
    <row r="701" spans="1:22" s="7" customFormat="1" x14ac:dyDescent="0.2">
      <c r="A701" s="1" t="s">
        <v>689</v>
      </c>
      <c r="B701" s="1" t="s">
        <v>704</v>
      </c>
      <c r="C701" s="1"/>
      <c r="D701" s="1"/>
      <c r="E701" s="1"/>
      <c r="F701" s="1"/>
      <c r="G701" s="1"/>
      <c r="H701" s="1"/>
      <c r="I701" s="1"/>
      <c r="J701" s="1"/>
      <c r="K701" s="1"/>
      <c r="L701" s="1"/>
      <c r="M701" s="1"/>
      <c r="N701" s="1"/>
      <c r="O701" s="1"/>
      <c r="P701" s="1"/>
      <c r="Q701" s="1"/>
      <c r="R701" s="1"/>
      <c r="S701" s="1">
        <v>1</v>
      </c>
      <c r="T701" s="1">
        <v>2</v>
      </c>
      <c r="U701" s="1">
        <v>3</v>
      </c>
      <c r="V701" s="1">
        <v>2</v>
      </c>
    </row>
    <row r="702" spans="1:22" s="7" customFormat="1" x14ac:dyDescent="0.2">
      <c r="A702" s="1" t="s">
        <v>689</v>
      </c>
      <c r="B702" s="1" t="s">
        <v>705</v>
      </c>
      <c r="C702" s="1">
        <v>1076</v>
      </c>
      <c r="D702" s="1">
        <v>803</v>
      </c>
      <c r="E702" s="1">
        <v>877</v>
      </c>
      <c r="F702" s="1">
        <v>781</v>
      </c>
      <c r="G702" s="1">
        <v>913</v>
      </c>
      <c r="H702" s="1">
        <v>1013</v>
      </c>
      <c r="I702" s="1">
        <v>602</v>
      </c>
      <c r="J702" s="1">
        <v>600</v>
      </c>
      <c r="K702" s="1">
        <v>684</v>
      </c>
      <c r="L702" s="1">
        <v>742</v>
      </c>
      <c r="M702" s="1">
        <v>1003</v>
      </c>
      <c r="N702" s="1">
        <f>484+1239</f>
        <v>1723</v>
      </c>
      <c r="O702" s="1">
        <f>94+1360</f>
        <v>1454</v>
      </c>
      <c r="P702" s="1">
        <v>891</v>
      </c>
      <c r="Q702" s="1">
        <v>877</v>
      </c>
      <c r="R702" s="1">
        <f>69+501</f>
        <v>570</v>
      </c>
      <c r="S702" s="1">
        <f>128+285</f>
        <v>413</v>
      </c>
      <c r="T702" s="1">
        <v>255</v>
      </c>
      <c r="U702" s="1">
        <v>159</v>
      </c>
      <c r="V702" s="1">
        <v>199</v>
      </c>
    </row>
    <row r="703" spans="1:22" x14ac:dyDescent="0.2">
      <c r="A703" s="1" t="s">
        <v>689</v>
      </c>
      <c r="B703" s="1" t="s">
        <v>706</v>
      </c>
      <c r="C703" s="1">
        <v>3529</v>
      </c>
      <c r="D703" s="1">
        <v>3611</v>
      </c>
      <c r="E703" s="1">
        <v>2614</v>
      </c>
      <c r="F703" s="1">
        <v>2554</v>
      </c>
      <c r="G703" s="1">
        <f t="shared" ref="G703:V703" si="215">SUM(G704:G711)</f>
        <v>2122</v>
      </c>
      <c r="H703" s="1">
        <f t="shared" si="215"/>
        <v>1789</v>
      </c>
      <c r="I703" s="1">
        <f t="shared" si="215"/>
        <v>1769</v>
      </c>
      <c r="J703" s="1">
        <f t="shared" si="215"/>
        <v>1937</v>
      </c>
      <c r="K703" s="1">
        <f t="shared" si="215"/>
        <v>1612</v>
      </c>
      <c r="L703" s="1">
        <f t="shared" si="215"/>
        <v>1132</v>
      </c>
      <c r="M703" s="1">
        <f t="shared" si="215"/>
        <v>1106</v>
      </c>
      <c r="N703" s="1">
        <f t="shared" si="215"/>
        <v>1587</v>
      </c>
      <c r="O703" s="1">
        <f t="shared" si="215"/>
        <v>2155</v>
      </c>
      <c r="P703" s="1">
        <f t="shared" si="215"/>
        <v>2434</v>
      </c>
      <c r="Q703" s="1">
        <f t="shared" si="215"/>
        <v>2918</v>
      </c>
      <c r="R703" s="1">
        <f t="shared" si="215"/>
        <v>3185</v>
      </c>
      <c r="S703" s="1">
        <f t="shared" si="215"/>
        <v>3436</v>
      </c>
      <c r="T703" s="1">
        <f t="shared" si="215"/>
        <v>3157</v>
      </c>
      <c r="U703" s="1">
        <f t="shared" si="215"/>
        <v>3560</v>
      </c>
      <c r="V703" s="1">
        <f t="shared" si="215"/>
        <v>3342</v>
      </c>
    </row>
    <row r="704" spans="1:22" x14ac:dyDescent="0.2">
      <c r="A704" s="1" t="s">
        <v>689</v>
      </c>
      <c r="B704" s="1" t="s">
        <v>707</v>
      </c>
      <c r="G704" s="1">
        <v>57</v>
      </c>
      <c r="H704" s="1">
        <v>37</v>
      </c>
      <c r="I704" s="1">
        <v>29</v>
      </c>
      <c r="J704" s="1">
        <v>43</v>
      </c>
      <c r="K704" s="1">
        <v>110</v>
      </c>
      <c r="L704" s="1">
        <v>104</v>
      </c>
      <c r="M704" s="1">
        <v>205</v>
      </c>
      <c r="N704" s="1">
        <v>377</v>
      </c>
      <c r="O704" s="1">
        <v>757</v>
      </c>
      <c r="P704" s="1">
        <v>875</v>
      </c>
      <c r="Q704" s="1">
        <v>745</v>
      </c>
      <c r="R704" s="1">
        <v>889</v>
      </c>
      <c r="S704" s="1">
        <v>943</v>
      </c>
      <c r="T704" s="1">
        <v>865</v>
      </c>
      <c r="U704" s="1">
        <v>911</v>
      </c>
      <c r="V704" s="1">
        <v>574</v>
      </c>
    </row>
    <row r="705" spans="1:22" x14ac:dyDescent="0.2">
      <c r="A705" s="1" t="s">
        <v>689</v>
      </c>
      <c r="B705" s="1" t="s">
        <v>708</v>
      </c>
      <c r="G705" s="1">
        <v>936</v>
      </c>
      <c r="H705" s="1">
        <v>836</v>
      </c>
      <c r="I705" s="1">
        <v>750</v>
      </c>
      <c r="J705" s="1">
        <v>799</v>
      </c>
      <c r="K705" s="1">
        <v>527</v>
      </c>
      <c r="L705" s="1">
        <v>358</v>
      </c>
      <c r="M705" s="1">
        <v>356</v>
      </c>
      <c r="N705" s="1">
        <v>456</v>
      </c>
      <c r="O705" s="1">
        <v>414</v>
      </c>
      <c r="P705" s="1">
        <v>632</v>
      </c>
      <c r="Q705" s="1">
        <v>592</v>
      </c>
      <c r="R705" s="1">
        <v>437</v>
      </c>
      <c r="S705" s="1">
        <v>541</v>
      </c>
      <c r="T705" s="1">
        <v>451</v>
      </c>
      <c r="U705" s="1">
        <v>613</v>
      </c>
      <c r="V705" s="1">
        <v>697</v>
      </c>
    </row>
    <row r="706" spans="1:22" x14ac:dyDescent="0.2">
      <c r="A706" s="1" t="s">
        <v>689</v>
      </c>
      <c r="B706" s="1" t="s">
        <v>709</v>
      </c>
      <c r="G706" s="1">
        <v>5</v>
      </c>
      <c r="H706" s="1">
        <v>16</v>
      </c>
      <c r="I706" s="1">
        <v>11</v>
      </c>
      <c r="J706" s="1">
        <v>8</v>
      </c>
      <c r="K706" s="1">
        <v>16</v>
      </c>
      <c r="L706" s="1">
        <v>8</v>
      </c>
      <c r="M706" s="1">
        <v>59</v>
      </c>
      <c r="N706" s="1">
        <v>0</v>
      </c>
      <c r="O706" s="1">
        <v>3</v>
      </c>
      <c r="P706" s="1">
        <v>1</v>
      </c>
      <c r="Q706" s="1">
        <v>4</v>
      </c>
      <c r="R706" s="1">
        <v>0</v>
      </c>
      <c r="S706" s="1">
        <v>0</v>
      </c>
      <c r="T706" s="1">
        <v>2</v>
      </c>
      <c r="U706" s="1">
        <v>2</v>
      </c>
      <c r="V706" s="1">
        <v>4</v>
      </c>
    </row>
    <row r="707" spans="1:22" x14ac:dyDescent="0.2">
      <c r="A707" s="1" t="s">
        <v>689</v>
      </c>
      <c r="B707" s="1" t="s">
        <v>710</v>
      </c>
      <c r="G707" s="1">
        <v>617</v>
      </c>
      <c r="H707" s="1">
        <v>556</v>
      </c>
      <c r="I707" s="1">
        <v>666</v>
      </c>
      <c r="J707" s="1">
        <v>723</v>
      </c>
      <c r="K707" s="1">
        <v>620</v>
      </c>
      <c r="L707" s="1">
        <v>417</v>
      </c>
      <c r="M707" s="1">
        <v>261</v>
      </c>
      <c r="N707" s="1">
        <v>357</v>
      </c>
      <c r="O707" s="1">
        <v>420</v>
      </c>
      <c r="P707" s="1">
        <v>339</v>
      </c>
      <c r="Q707" s="1">
        <v>368</v>
      </c>
      <c r="R707" s="1">
        <v>359</v>
      </c>
      <c r="S707" s="1">
        <v>337</v>
      </c>
      <c r="T707" s="1">
        <v>246</v>
      </c>
      <c r="U707" s="1">
        <v>315</v>
      </c>
      <c r="V707" s="1">
        <v>306</v>
      </c>
    </row>
    <row r="708" spans="1:22" x14ac:dyDescent="0.2">
      <c r="A708" s="1" t="s">
        <v>689</v>
      </c>
      <c r="B708" s="1" t="s">
        <v>711</v>
      </c>
      <c r="G708" s="1">
        <v>57</v>
      </c>
      <c r="H708" s="1">
        <v>61</v>
      </c>
      <c r="I708" s="1">
        <v>70</v>
      </c>
      <c r="J708" s="1">
        <v>77</v>
      </c>
      <c r="K708" s="1">
        <v>99</v>
      </c>
      <c r="L708" s="1">
        <v>91</v>
      </c>
      <c r="M708" s="1">
        <v>92</v>
      </c>
      <c r="N708" s="1">
        <v>100</v>
      </c>
      <c r="O708" s="1">
        <v>121</v>
      </c>
      <c r="P708" s="1">
        <v>116</v>
      </c>
      <c r="Q708" s="1">
        <v>111</v>
      </c>
      <c r="R708" s="1">
        <v>178</v>
      </c>
      <c r="S708" s="1">
        <v>197</v>
      </c>
      <c r="T708" s="1">
        <v>229</v>
      </c>
      <c r="U708" s="1">
        <v>222</v>
      </c>
      <c r="V708" s="1">
        <v>225</v>
      </c>
    </row>
    <row r="709" spans="1:22" x14ac:dyDescent="0.2">
      <c r="A709" s="1" t="s">
        <v>689</v>
      </c>
      <c r="B709" s="1" t="s">
        <v>712</v>
      </c>
      <c r="G709" s="1">
        <v>248</v>
      </c>
      <c r="H709" s="1">
        <v>109</v>
      </c>
      <c r="I709" s="1">
        <v>63</v>
      </c>
      <c r="J709" s="1">
        <v>48</v>
      </c>
      <c r="K709" s="1">
        <v>25</v>
      </c>
      <c r="L709" s="1">
        <v>9</v>
      </c>
      <c r="M709" s="1">
        <v>37</v>
      </c>
      <c r="N709" s="1">
        <v>114</v>
      </c>
      <c r="O709" s="1">
        <v>187</v>
      </c>
      <c r="P709" s="1">
        <v>229</v>
      </c>
      <c r="Q709" s="1">
        <v>790</v>
      </c>
      <c r="R709" s="1">
        <v>1050</v>
      </c>
      <c r="S709" s="1">
        <v>1204</v>
      </c>
      <c r="T709" s="1">
        <v>1164</v>
      </c>
      <c r="U709" s="1">
        <v>1262</v>
      </c>
      <c r="V709" s="1">
        <v>1277</v>
      </c>
    </row>
    <row r="710" spans="1:22" x14ac:dyDescent="0.2">
      <c r="A710" s="1" t="s">
        <v>689</v>
      </c>
      <c r="B710" s="1" t="s">
        <v>713</v>
      </c>
      <c r="R710" s="1">
        <v>0</v>
      </c>
      <c r="S710" s="1">
        <v>0</v>
      </c>
      <c r="T710" s="1">
        <v>7</v>
      </c>
      <c r="U710" s="1">
        <v>9</v>
      </c>
      <c r="V710" s="1">
        <v>13</v>
      </c>
    </row>
    <row r="711" spans="1:22" x14ac:dyDescent="0.2">
      <c r="A711" s="1" t="s">
        <v>689</v>
      </c>
      <c r="B711" s="1" t="s">
        <v>714</v>
      </c>
      <c r="G711" s="1">
        <v>202</v>
      </c>
      <c r="H711" s="1">
        <v>174</v>
      </c>
      <c r="I711" s="1">
        <v>180</v>
      </c>
      <c r="J711" s="1">
        <v>239</v>
      </c>
      <c r="K711" s="1">
        <v>215</v>
      </c>
      <c r="L711" s="1">
        <v>145</v>
      </c>
      <c r="M711" s="1">
        <v>96</v>
      </c>
      <c r="N711" s="1">
        <v>183</v>
      </c>
      <c r="O711" s="1">
        <v>253</v>
      </c>
      <c r="P711" s="1">
        <v>242</v>
      </c>
      <c r="Q711" s="1">
        <f>307+1</f>
        <v>308</v>
      </c>
      <c r="R711" s="1">
        <v>272</v>
      </c>
      <c r="S711" s="1">
        <v>214</v>
      </c>
      <c r="T711" s="1">
        <v>193</v>
      </c>
      <c r="U711" s="1">
        <v>226</v>
      </c>
      <c r="V711" s="1">
        <v>246</v>
      </c>
    </row>
    <row r="712" spans="1:22" x14ac:dyDescent="0.2">
      <c r="A712" s="1" t="s">
        <v>689</v>
      </c>
      <c r="B712" s="1" t="s">
        <v>715</v>
      </c>
      <c r="C712" s="1">
        <v>0</v>
      </c>
      <c r="D712" s="1">
        <v>0</v>
      </c>
      <c r="E712" s="1">
        <v>0</v>
      </c>
      <c r="F712" s="1">
        <v>0</v>
      </c>
      <c r="G712" s="1">
        <v>0</v>
      </c>
      <c r="H712" s="1">
        <v>0</v>
      </c>
      <c r="I712" s="1">
        <v>482</v>
      </c>
      <c r="J712" s="1">
        <v>489</v>
      </c>
      <c r="K712" s="1">
        <v>471</v>
      </c>
      <c r="L712" s="1">
        <v>570</v>
      </c>
      <c r="M712" s="1">
        <v>709</v>
      </c>
      <c r="N712" s="1">
        <v>844</v>
      </c>
      <c r="O712" s="1">
        <v>909</v>
      </c>
      <c r="P712" s="1">
        <v>1009</v>
      </c>
      <c r="Q712" s="1">
        <v>1088</v>
      </c>
      <c r="R712" s="1">
        <v>976</v>
      </c>
      <c r="S712" s="1">
        <v>1108</v>
      </c>
      <c r="T712" s="1">
        <v>917</v>
      </c>
      <c r="U712" s="1">
        <v>899</v>
      </c>
      <c r="V712" s="1">
        <v>1171</v>
      </c>
    </row>
    <row r="713" spans="1:22" x14ac:dyDescent="0.2">
      <c r="A713" s="1" t="s">
        <v>689</v>
      </c>
      <c r="B713" s="1" t="s">
        <v>716</v>
      </c>
      <c r="C713" s="1">
        <v>5294</v>
      </c>
      <c r="D713" s="1">
        <v>6040</v>
      </c>
      <c r="E713" s="1">
        <v>7178</v>
      </c>
      <c r="F713" s="1">
        <v>6597</v>
      </c>
      <c r="G713" s="1">
        <v>7267</v>
      </c>
      <c r="H713" s="1">
        <v>8101</v>
      </c>
      <c r="I713" s="1">
        <v>7443</v>
      </c>
      <c r="J713" s="1">
        <v>6698</v>
      </c>
      <c r="K713" s="1">
        <v>6260</v>
      </c>
      <c r="L713" s="1">
        <v>7660</v>
      </c>
      <c r="M713" s="1">
        <v>8685</v>
      </c>
      <c r="N713" s="1">
        <v>8917</v>
      </c>
      <c r="O713" s="1">
        <v>10026</v>
      </c>
      <c r="P713" s="1">
        <v>9534</v>
      </c>
      <c r="Q713" s="1">
        <v>10151</v>
      </c>
      <c r="R713" s="1">
        <v>11507</v>
      </c>
      <c r="S713" s="1">
        <v>10797</v>
      </c>
      <c r="T713" s="1">
        <v>10271</v>
      </c>
      <c r="U713" s="1">
        <v>8940</v>
      </c>
      <c r="V713" s="1">
        <v>12373</v>
      </c>
    </row>
    <row r="714" spans="1:22" x14ac:dyDescent="0.2">
      <c r="A714" s="1" t="s">
        <v>689</v>
      </c>
      <c r="B714" s="1" t="s">
        <v>717</v>
      </c>
      <c r="C714" s="1">
        <v>0</v>
      </c>
      <c r="D714" s="1">
        <v>0</v>
      </c>
      <c r="E714" s="1">
        <v>0</v>
      </c>
      <c r="F714" s="1">
        <v>0</v>
      </c>
      <c r="G714" s="1">
        <v>0</v>
      </c>
      <c r="H714" s="1">
        <v>0</v>
      </c>
      <c r="I714" s="1">
        <v>0</v>
      </c>
      <c r="J714" s="1">
        <v>73</v>
      </c>
      <c r="K714" s="1">
        <v>18</v>
      </c>
      <c r="L714" s="1">
        <v>20</v>
      </c>
      <c r="M714" s="1">
        <v>17</v>
      </c>
      <c r="N714" s="1">
        <v>20</v>
      </c>
      <c r="O714" s="1">
        <v>23</v>
      </c>
      <c r="P714" s="1">
        <v>23</v>
      </c>
      <c r="Q714" s="1">
        <v>20</v>
      </c>
      <c r="R714" s="1">
        <v>8</v>
      </c>
      <c r="S714" s="1">
        <v>16</v>
      </c>
      <c r="T714" s="1">
        <v>6</v>
      </c>
      <c r="U714" s="1">
        <v>3</v>
      </c>
      <c r="V714" s="1">
        <v>6</v>
      </c>
    </row>
    <row r="715" spans="1:22" x14ac:dyDescent="0.2">
      <c r="A715" s="1" t="s">
        <v>689</v>
      </c>
      <c r="B715" s="1" t="s">
        <v>718</v>
      </c>
      <c r="C715" s="1">
        <v>31142</v>
      </c>
      <c r="D715" s="1">
        <v>30343</v>
      </c>
      <c r="E715" s="1">
        <v>33895</v>
      </c>
      <c r="F715" s="1">
        <v>37499</v>
      </c>
      <c r="G715" s="1">
        <v>50765</v>
      </c>
      <c r="H715" s="1">
        <v>55487</v>
      </c>
      <c r="I715" s="1">
        <v>60979</v>
      </c>
      <c r="J715" s="1">
        <v>77456</v>
      </c>
      <c r="K715" s="1">
        <v>108765</v>
      </c>
      <c r="L715" s="1">
        <v>145127</v>
      </c>
      <c r="M715" s="1">
        <v>140717</v>
      </c>
      <c r="N715" s="1">
        <v>72499</v>
      </c>
      <c r="O715" s="1">
        <v>40294</v>
      </c>
      <c r="P715" s="1">
        <v>39434</v>
      </c>
      <c r="Q715" s="1">
        <v>36675</v>
      </c>
      <c r="R715" s="1">
        <v>30059</v>
      </c>
      <c r="S715" s="1">
        <v>28170</v>
      </c>
      <c r="T715" s="1">
        <v>23799</v>
      </c>
      <c r="U715" s="1">
        <v>25769</v>
      </c>
      <c r="V715" s="1">
        <v>33392</v>
      </c>
    </row>
    <row r="716" spans="1:22" x14ac:dyDescent="0.2">
      <c r="A716" s="1" t="s">
        <v>689</v>
      </c>
      <c r="B716" s="1" t="s">
        <v>719</v>
      </c>
      <c r="C716" s="1">
        <v>0</v>
      </c>
      <c r="D716" s="1">
        <v>0</v>
      </c>
      <c r="E716" s="1">
        <v>0</v>
      </c>
      <c r="F716" s="1">
        <v>0</v>
      </c>
      <c r="G716" s="1">
        <v>0</v>
      </c>
      <c r="H716" s="1">
        <v>0</v>
      </c>
      <c r="I716" s="1">
        <v>0</v>
      </c>
      <c r="J716" s="1">
        <v>0</v>
      </c>
      <c r="K716" s="1">
        <v>0</v>
      </c>
      <c r="L716" s="1">
        <v>0</v>
      </c>
      <c r="M716" s="1">
        <v>0</v>
      </c>
      <c r="N716" s="1">
        <v>91710</v>
      </c>
      <c r="O716" s="1">
        <v>48296</v>
      </c>
      <c r="P716" s="1">
        <v>42267</v>
      </c>
      <c r="Q716" s="1">
        <v>35898</v>
      </c>
      <c r="R716" s="1">
        <v>37182</v>
      </c>
      <c r="S716" s="1">
        <v>37138</v>
      </c>
      <c r="T716" s="1">
        <v>37046</v>
      </c>
      <c r="U716" s="1">
        <v>37205</v>
      </c>
      <c r="V716" s="1">
        <v>49805</v>
      </c>
    </row>
    <row r="717" spans="1:22" x14ac:dyDescent="0.2">
      <c r="A717" s="1" t="s">
        <v>689</v>
      </c>
      <c r="B717" s="1" t="s">
        <v>720</v>
      </c>
      <c r="C717" s="1">
        <v>5304</v>
      </c>
      <c r="D717" s="1">
        <v>5040</v>
      </c>
      <c r="E717" s="1">
        <v>4839</v>
      </c>
      <c r="F717" s="1">
        <v>4622</v>
      </c>
      <c r="G717" s="1">
        <v>6123</v>
      </c>
      <c r="H717" s="1">
        <v>6471</v>
      </c>
      <c r="I717" s="1">
        <v>5612</v>
      </c>
      <c r="J717" s="1">
        <v>5636</v>
      </c>
      <c r="K717" s="1">
        <v>5048</v>
      </c>
      <c r="L717" s="1">
        <v>6277</v>
      </c>
      <c r="M717" s="1">
        <v>6487</v>
      </c>
      <c r="N717" s="1">
        <v>7224</v>
      </c>
      <c r="O717" s="1">
        <v>6504</v>
      </c>
      <c r="P717" s="1">
        <v>6923</v>
      </c>
      <c r="Q717" s="1">
        <v>7204</v>
      </c>
      <c r="R717" s="1">
        <v>6200</v>
      </c>
      <c r="S717" s="1">
        <v>0</v>
      </c>
      <c r="T717" s="1">
        <v>0</v>
      </c>
      <c r="U717" s="1">
        <v>0</v>
      </c>
      <c r="V717" s="1">
        <v>0</v>
      </c>
    </row>
    <row r="718" spans="1:22" x14ac:dyDescent="0.2">
      <c r="A718" s="1" t="s">
        <v>689</v>
      </c>
      <c r="B718" s="1" t="s">
        <v>721</v>
      </c>
      <c r="C718" s="1">
        <v>0</v>
      </c>
      <c r="D718" s="1">
        <v>0</v>
      </c>
      <c r="E718" s="1">
        <v>0</v>
      </c>
      <c r="F718" s="1">
        <v>0</v>
      </c>
      <c r="G718" s="1">
        <v>0</v>
      </c>
      <c r="H718" s="1">
        <v>0</v>
      </c>
      <c r="I718" s="1">
        <v>0</v>
      </c>
      <c r="J718" s="1">
        <v>0</v>
      </c>
      <c r="K718" s="1">
        <v>0</v>
      </c>
      <c r="L718" s="1">
        <v>0</v>
      </c>
      <c r="M718" s="1">
        <v>0</v>
      </c>
      <c r="N718" s="1">
        <v>0</v>
      </c>
      <c r="O718" s="1">
        <v>0</v>
      </c>
      <c r="P718" s="1">
        <v>0</v>
      </c>
      <c r="Q718" s="1">
        <v>0</v>
      </c>
      <c r="R718" s="1">
        <v>0</v>
      </c>
      <c r="S718" s="1">
        <v>257</v>
      </c>
      <c r="T718" s="1">
        <v>28</v>
      </c>
      <c r="U718" s="1">
        <v>40</v>
      </c>
      <c r="V718" s="1">
        <v>55</v>
      </c>
    </row>
    <row r="719" spans="1:22" x14ac:dyDescent="0.2">
      <c r="A719" s="1" t="s">
        <v>689</v>
      </c>
      <c r="B719" s="1" t="s">
        <v>722</v>
      </c>
      <c r="C719" s="1">
        <v>0</v>
      </c>
      <c r="D719" s="1">
        <v>0</v>
      </c>
      <c r="E719" s="1">
        <v>0</v>
      </c>
      <c r="F719" s="1">
        <v>0</v>
      </c>
      <c r="G719" s="1">
        <v>0</v>
      </c>
      <c r="H719" s="1">
        <v>0</v>
      </c>
      <c r="I719" s="1">
        <v>0</v>
      </c>
      <c r="J719" s="1">
        <v>0</v>
      </c>
      <c r="K719" s="1">
        <v>0</v>
      </c>
      <c r="L719" s="1">
        <v>0</v>
      </c>
      <c r="M719" s="1">
        <v>0</v>
      </c>
      <c r="N719" s="1">
        <v>0</v>
      </c>
      <c r="O719" s="1">
        <v>0</v>
      </c>
      <c r="P719" s="1">
        <v>0</v>
      </c>
      <c r="Q719" s="1">
        <v>0</v>
      </c>
      <c r="R719" s="1">
        <v>0</v>
      </c>
      <c r="S719" s="1">
        <v>5391</v>
      </c>
      <c r="T719" s="1">
        <v>4908</v>
      </c>
      <c r="U719" s="1">
        <v>4713</v>
      </c>
      <c r="V719" s="1">
        <v>7090</v>
      </c>
    </row>
    <row r="720" spans="1:22" x14ac:dyDescent="0.2">
      <c r="A720" s="1" t="s">
        <v>689</v>
      </c>
      <c r="B720" s="1" t="s">
        <v>723</v>
      </c>
      <c r="C720" s="1">
        <v>0</v>
      </c>
      <c r="D720" s="1">
        <v>0</v>
      </c>
      <c r="E720" s="1">
        <v>0</v>
      </c>
      <c r="F720" s="1">
        <v>0</v>
      </c>
      <c r="G720" s="1">
        <v>0</v>
      </c>
      <c r="H720" s="1">
        <v>0</v>
      </c>
      <c r="I720" s="1">
        <v>0</v>
      </c>
      <c r="J720" s="1">
        <v>0</v>
      </c>
      <c r="K720" s="1">
        <v>0</v>
      </c>
      <c r="L720" s="1">
        <v>0</v>
      </c>
      <c r="M720" s="1">
        <v>0</v>
      </c>
      <c r="N720" s="1">
        <v>0</v>
      </c>
      <c r="O720" s="1">
        <v>359</v>
      </c>
      <c r="P720" s="1">
        <v>303</v>
      </c>
      <c r="Q720" s="1">
        <v>434</v>
      </c>
      <c r="R720" s="1">
        <v>530</v>
      </c>
      <c r="S720" s="1">
        <v>645</v>
      </c>
      <c r="T720" s="1">
        <v>635</v>
      </c>
      <c r="U720" s="1">
        <v>671</v>
      </c>
      <c r="V720" s="1">
        <v>823</v>
      </c>
    </row>
    <row r="721" spans="1:22" x14ac:dyDescent="0.2">
      <c r="A721" s="1" t="s">
        <v>689</v>
      </c>
      <c r="B721" s="1" t="s">
        <v>724</v>
      </c>
      <c r="C721" s="1">
        <v>0</v>
      </c>
      <c r="D721" s="1">
        <v>0</v>
      </c>
      <c r="E721" s="1">
        <v>0</v>
      </c>
      <c r="F721" s="1">
        <v>0</v>
      </c>
      <c r="G721" s="1">
        <v>0</v>
      </c>
      <c r="H721" s="1">
        <v>0</v>
      </c>
      <c r="I721" s="1">
        <v>0</v>
      </c>
      <c r="J721" s="1">
        <v>0</v>
      </c>
      <c r="K721" s="1">
        <v>0</v>
      </c>
      <c r="L721" s="1">
        <v>0</v>
      </c>
      <c r="M721" s="1">
        <v>0</v>
      </c>
      <c r="N721" s="1">
        <v>0</v>
      </c>
      <c r="O721" s="1">
        <v>0</v>
      </c>
      <c r="P721" s="1">
        <v>0</v>
      </c>
      <c r="Q721" s="1">
        <v>0</v>
      </c>
      <c r="R721" s="1">
        <v>0</v>
      </c>
      <c r="S721" s="1">
        <v>29</v>
      </c>
      <c r="T721" s="1">
        <v>13</v>
      </c>
      <c r="U721" s="1">
        <v>3</v>
      </c>
      <c r="V721" s="1">
        <v>3</v>
      </c>
    </row>
    <row r="722" spans="1:22" x14ac:dyDescent="0.2">
      <c r="A722" s="1" t="s">
        <v>689</v>
      </c>
      <c r="B722" s="1" t="s">
        <v>725</v>
      </c>
      <c r="C722" s="1">
        <v>1524</v>
      </c>
      <c r="D722" s="1">
        <v>1324</v>
      </c>
      <c r="E722" s="1">
        <v>1558</v>
      </c>
      <c r="F722" s="1">
        <v>1873</v>
      </c>
      <c r="G722" s="1">
        <v>1212</v>
      </c>
      <c r="H722" s="1">
        <v>1276</v>
      </c>
      <c r="I722" s="1">
        <v>1336</v>
      </c>
      <c r="J722" s="1">
        <v>1542</v>
      </c>
      <c r="K722" s="1">
        <v>1498</v>
      </c>
      <c r="L722" s="1">
        <v>2894</v>
      </c>
      <c r="M722" s="1">
        <v>1414</v>
      </c>
      <c r="N722" s="1">
        <v>860</v>
      </c>
      <c r="O722" s="1">
        <v>707</v>
      </c>
      <c r="P722" s="1">
        <v>726</v>
      </c>
      <c r="Q722" s="1">
        <v>898</v>
      </c>
      <c r="R722" s="1">
        <v>1916</v>
      </c>
      <c r="S722" s="1">
        <v>2676</v>
      </c>
      <c r="T722" s="1">
        <v>637</v>
      </c>
      <c r="U722" s="1">
        <v>444</v>
      </c>
      <c r="V722" s="1">
        <v>494</v>
      </c>
    </row>
    <row r="723" spans="1:22" x14ac:dyDescent="0.2">
      <c r="A723" s="1" t="s">
        <v>689</v>
      </c>
      <c r="B723" s="1" t="s">
        <v>726</v>
      </c>
      <c r="C723" s="1">
        <v>0</v>
      </c>
      <c r="D723" s="1">
        <v>0</v>
      </c>
      <c r="E723" s="1">
        <v>0</v>
      </c>
      <c r="F723" s="1">
        <v>0</v>
      </c>
      <c r="G723" s="1">
        <v>0</v>
      </c>
      <c r="H723" s="1">
        <v>0</v>
      </c>
      <c r="I723" s="1">
        <v>0</v>
      </c>
      <c r="J723" s="1">
        <v>0</v>
      </c>
      <c r="K723" s="1">
        <v>0</v>
      </c>
      <c r="L723" s="1">
        <v>0</v>
      </c>
      <c r="M723" s="1">
        <v>0</v>
      </c>
      <c r="N723" s="1">
        <v>0</v>
      </c>
      <c r="O723" s="1">
        <v>0</v>
      </c>
      <c r="P723" s="1">
        <v>0</v>
      </c>
      <c r="Q723" s="1">
        <v>0</v>
      </c>
      <c r="R723" s="1">
        <v>0</v>
      </c>
      <c r="S723" s="1">
        <v>37</v>
      </c>
      <c r="T723" s="1">
        <v>2</v>
      </c>
      <c r="U723" s="1">
        <v>1</v>
      </c>
      <c r="V723" s="1">
        <v>0</v>
      </c>
    </row>
    <row r="724" spans="1:22" x14ac:dyDescent="0.2">
      <c r="A724" s="1" t="s">
        <v>689</v>
      </c>
      <c r="B724" s="1" t="s">
        <v>727</v>
      </c>
      <c r="C724" s="1">
        <v>635</v>
      </c>
      <c r="D724" s="1">
        <v>827</v>
      </c>
      <c r="E724" s="1">
        <v>1008</v>
      </c>
      <c r="F724" s="1">
        <v>884</v>
      </c>
      <c r="G724" s="1">
        <v>1030</v>
      </c>
      <c r="H724" s="1">
        <v>863</v>
      </c>
      <c r="I724" s="1">
        <v>944</v>
      </c>
      <c r="J724" s="1">
        <v>806</v>
      </c>
      <c r="K724" s="1">
        <v>808</v>
      </c>
      <c r="L724" s="1">
        <v>1001</v>
      </c>
      <c r="M724" s="1">
        <v>1208</v>
      </c>
      <c r="N724" s="1">
        <v>1544</v>
      </c>
      <c r="O724" s="1">
        <v>1752</v>
      </c>
      <c r="P724" s="1">
        <v>1712</v>
      </c>
      <c r="Q724" s="1">
        <v>1713</v>
      </c>
      <c r="R724" s="1">
        <v>1644</v>
      </c>
      <c r="S724" s="1">
        <v>1533</v>
      </c>
      <c r="T724" s="1">
        <v>1520</v>
      </c>
      <c r="U724" s="1">
        <v>1649</v>
      </c>
      <c r="V724" s="1">
        <v>1525</v>
      </c>
    </row>
    <row r="725" spans="1:22" x14ac:dyDescent="0.2">
      <c r="A725" s="1" t="s">
        <v>689</v>
      </c>
      <c r="B725" s="1" t="s">
        <v>728</v>
      </c>
      <c r="C725" s="1">
        <v>0</v>
      </c>
      <c r="D725" s="1">
        <v>0</v>
      </c>
      <c r="E725" s="1">
        <v>0</v>
      </c>
      <c r="F725" s="1">
        <v>0</v>
      </c>
      <c r="G725" s="1">
        <v>0</v>
      </c>
      <c r="H725" s="1">
        <v>0</v>
      </c>
      <c r="I725" s="1">
        <v>0</v>
      </c>
      <c r="J725" s="1">
        <v>0</v>
      </c>
      <c r="K725" s="1">
        <v>0</v>
      </c>
      <c r="L725" s="1">
        <v>0</v>
      </c>
      <c r="M725" s="1">
        <v>0</v>
      </c>
      <c r="N725" s="1">
        <v>0</v>
      </c>
      <c r="O725" s="1">
        <v>0</v>
      </c>
      <c r="P725" s="1">
        <v>0</v>
      </c>
      <c r="Q725" s="1">
        <v>10</v>
      </c>
      <c r="R725" s="1">
        <v>153</v>
      </c>
      <c r="S725" s="1">
        <v>0</v>
      </c>
      <c r="T725" s="1">
        <v>120</v>
      </c>
      <c r="U725" s="1">
        <v>126</v>
      </c>
      <c r="V725" s="1">
        <v>226</v>
      </c>
    </row>
    <row r="726" spans="1:22" x14ac:dyDescent="0.2">
      <c r="A726" s="1" t="s">
        <v>689</v>
      </c>
      <c r="B726" s="1" t="s">
        <v>729</v>
      </c>
      <c r="C726" s="1">
        <v>0</v>
      </c>
      <c r="D726" s="1">
        <v>0</v>
      </c>
      <c r="E726" s="1">
        <v>0</v>
      </c>
      <c r="F726" s="1">
        <v>0</v>
      </c>
      <c r="G726" s="1">
        <v>0</v>
      </c>
      <c r="H726" s="1">
        <v>0</v>
      </c>
      <c r="I726" s="1">
        <v>0</v>
      </c>
      <c r="J726" s="1">
        <v>0</v>
      </c>
      <c r="K726" s="1">
        <v>0</v>
      </c>
      <c r="L726" s="1">
        <v>0</v>
      </c>
      <c r="M726" s="1">
        <v>0</v>
      </c>
      <c r="N726" s="1">
        <v>0</v>
      </c>
      <c r="O726" s="1">
        <v>0</v>
      </c>
      <c r="P726" s="1">
        <v>0</v>
      </c>
      <c r="Q726" s="1">
        <v>0</v>
      </c>
      <c r="R726" s="1">
        <v>0</v>
      </c>
      <c r="S726" s="1">
        <v>0</v>
      </c>
      <c r="T726" s="1">
        <v>34</v>
      </c>
      <c r="U726" s="1">
        <v>8</v>
      </c>
      <c r="V726" s="1">
        <v>14</v>
      </c>
    </row>
    <row r="727" spans="1:22" x14ac:dyDescent="0.2">
      <c r="A727" s="1" t="s">
        <v>689</v>
      </c>
      <c r="B727" s="1" t="s">
        <v>730</v>
      </c>
      <c r="C727" s="1">
        <v>0</v>
      </c>
      <c r="D727" s="1">
        <v>0</v>
      </c>
      <c r="E727" s="1">
        <v>0</v>
      </c>
      <c r="F727" s="1">
        <v>0</v>
      </c>
      <c r="G727" s="1">
        <v>0</v>
      </c>
      <c r="H727" s="1">
        <v>0</v>
      </c>
      <c r="I727" s="1">
        <v>0</v>
      </c>
      <c r="J727" s="1">
        <v>0</v>
      </c>
      <c r="K727" s="1">
        <v>0</v>
      </c>
      <c r="L727" s="1">
        <v>116</v>
      </c>
      <c r="M727" s="1">
        <v>75</v>
      </c>
      <c r="N727" s="1">
        <v>192</v>
      </c>
      <c r="O727" s="1">
        <v>42</v>
      </c>
      <c r="P727" s="1">
        <v>71</v>
      </c>
      <c r="Q727" s="1">
        <v>116</v>
      </c>
      <c r="R727" s="1">
        <v>250</v>
      </c>
      <c r="S727" s="1">
        <v>195</v>
      </c>
      <c r="T727" s="1">
        <v>53</v>
      </c>
      <c r="U727" s="1">
        <v>144</v>
      </c>
      <c r="V727" s="1">
        <v>98</v>
      </c>
    </row>
    <row r="728" spans="1:22" s="7" customFormat="1" x14ac:dyDescent="0.2">
      <c r="A728" s="1" t="s">
        <v>689</v>
      </c>
      <c r="B728" s="1" t="s">
        <v>731</v>
      </c>
      <c r="C728" s="1">
        <v>0</v>
      </c>
      <c r="D728" s="1">
        <v>0</v>
      </c>
      <c r="E728" s="1">
        <v>0</v>
      </c>
      <c r="F728" s="1">
        <v>0</v>
      </c>
      <c r="G728" s="1">
        <v>0</v>
      </c>
      <c r="H728" s="1">
        <v>0</v>
      </c>
      <c r="I728" s="1">
        <v>0</v>
      </c>
      <c r="J728" s="1">
        <v>0</v>
      </c>
      <c r="K728" s="1">
        <v>0</v>
      </c>
      <c r="L728" s="1">
        <v>0</v>
      </c>
      <c r="M728" s="1">
        <v>0</v>
      </c>
      <c r="N728" s="1">
        <v>173</v>
      </c>
      <c r="O728" s="1">
        <v>137</v>
      </c>
      <c r="P728" s="1">
        <v>107</v>
      </c>
      <c r="Q728" s="1">
        <v>122</v>
      </c>
      <c r="R728" s="1">
        <v>115</v>
      </c>
      <c r="S728" s="1">
        <v>106</v>
      </c>
      <c r="T728" s="1">
        <v>64</v>
      </c>
      <c r="U728" s="1">
        <v>17</v>
      </c>
      <c r="V728" s="1">
        <v>19</v>
      </c>
    </row>
    <row r="729" spans="1:22" x14ac:dyDescent="0.2">
      <c r="A729" s="1" t="s">
        <v>689</v>
      </c>
      <c r="B729" s="1" t="s">
        <v>732</v>
      </c>
      <c r="C729" s="1">
        <v>1127</v>
      </c>
      <c r="D729" s="1">
        <v>1288</v>
      </c>
      <c r="E729" s="1">
        <v>953</v>
      </c>
      <c r="F729" s="1">
        <v>828</v>
      </c>
      <c r="G729" s="1">
        <v>867</v>
      </c>
      <c r="H729" s="1">
        <v>677</v>
      </c>
      <c r="I729" s="1">
        <v>575</v>
      </c>
      <c r="J729" s="1">
        <v>464</v>
      </c>
      <c r="K729" s="1">
        <v>390</v>
      </c>
      <c r="L729" s="1">
        <v>343</v>
      </c>
      <c r="M729" s="1">
        <v>355</v>
      </c>
      <c r="N729" s="1">
        <v>283</v>
      </c>
      <c r="O729" s="1">
        <v>279</v>
      </c>
      <c r="P729" s="1">
        <v>246</v>
      </c>
      <c r="Q729" s="1">
        <v>274</v>
      </c>
      <c r="R729" s="1">
        <v>294</v>
      </c>
      <c r="S729" s="1">
        <v>214</v>
      </c>
      <c r="T729" s="1">
        <v>166</v>
      </c>
      <c r="U729" s="1">
        <v>122</v>
      </c>
      <c r="V729" s="1">
        <v>159</v>
      </c>
    </row>
    <row r="730" spans="1:22" x14ac:dyDescent="0.2">
      <c r="A730" s="1" t="s">
        <v>689</v>
      </c>
      <c r="B730" s="1" t="s">
        <v>733</v>
      </c>
      <c r="C730" s="1">
        <v>16902</v>
      </c>
      <c r="D730" s="1">
        <v>22210</v>
      </c>
      <c r="E730" s="1">
        <v>23465</v>
      </c>
      <c r="F730" s="1">
        <v>27248</v>
      </c>
      <c r="G730" s="1">
        <f t="shared" ref="G730:V730" si="216">G731+G747+G754</f>
        <v>34843</v>
      </c>
      <c r="H730" s="1">
        <f t="shared" si="216"/>
        <v>38357</v>
      </c>
      <c r="I730" s="1">
        <f t="shared" si="216"/>
        <v>38634</v>
      </c>
      <c r="J730" s="1">
        <f t="shared" si="216"/>
        <v>32586</v>
      </c>
      <c r="K730" s="1">
        <f t="shared" si="216"/>
        <v>22136</v>
      </c>
      <c r="L730" s="1">
        <f t="shared" si="216"/>
        <v>21411</v>
      </c>
      <c r="M730" s="1">
        <f t="shared" si="216"/>
        <v>24957</v>
      </c>
      <c r="N730" s="1">
        <f t="shared" si="216"/>
        <v>28446</v>
      </c>
      <c r="O730" s="1">
        <f t="shared" si="216"/>
        <v>33198</v>
      </c>
      <c r="P730" s="1">
        <f t="shared" si="216"/>
        <v>29774</v>
      </c>
      <c r="Q730" s="1">
        <f t="shared" si="216"/>
        <v>28795</v>
      </c>
      <c r="R730" s="1">
        <f t="shared" si="216"/>
        <v>26515</v>
      </c>
      <c r="S730" s="1">
        <f t="shared" si="216"/>
        <v>25649</v>
      </c>
      <c r="T730" s="1">
        <f t="shared" si="216"/>
        <v>19879</v>
      </c>
      <c r="U730" s="1">
        <f t="shared" si="216"/>
        <v>18459</v>
      </c>
      <c r="V730" s="1">
        <f t="shared" si="216"/>
        <v>21757</v>
      </c>
    </row>
    <row r="731" spans="1:22" x14ac:dyDescent="0.2">
      <c r="A731" s="1" t="s">
        <v>689</v>
      </c>
      <c r="B731" s="1" t="s">
        <v>734</v>
      </c>
      <c r="C731" s="1">
        <f t="shared" ref="C731:V731" si="217">SUM(C732:C746)</f>
        <v>1869</v>
      </c>
      <c r="D731" s="1">
        <f t="shared" si="217"/>
        <v>2101</v>
      </c>
      <c r="E731" s="1">
        <f t="shared" si="217"/>
        <v>2374</v>
      </c>
      <c r="F731" s="1">
        <f t="shared" si="217"/>
        <v>2195</v>
      </c>
      <c r="G731" s="1">
        <f t="shared" si="217"/>
        <v>18053</v>
      </c>
      <c r="H731" s="1">
        <f t="shared" si="217"/>
        <v>19390</v>
      </c>
      <c r="I731" s="1">
        <f t="shared" si="217"/>
        <v>20336</v>
      </c>
      <c r="J731" s="1">
        <f t="shared" si="217"/>
        <v>18875</v>
      </c>
      <c r="K731" s="1">
        <f t="shared" si="217"/>
        <v>9155</v>
      </c>
      <c r="L731" s="1">
        <f t="shared" si="217"/>
        <v>6689</v>
      </c>
      <c r="M731" s="1">
        <f t="shared" si="217"/>
        <v>8194</v>
      </c>
      <c r="N731" s="1">
        <f t="shared" si="217"/>
        <v>10307</v>
      </c>
      <c r="O731" s="1">
        <f t="shared" si="217"/>
        <v>13037</v>
      </c>
      <c r="P731" s="1">
        <f t="shared" si="217"/>
        <v>9689</v>
      </c>
      <c r="Q731" s="1">
        <f t="shared" si="217"/>
        <v>9658</v>
      </c>
      <c r="R731" s="1">
        <f t="shared" si="217"/>
        <v>8832</v>
      </c>
      <c r="S731" s="1">
        <f t="shared" si="217"/>
        <v>9452</v>
      </c>
      <c r="T731" s="1">
        <f t="shared" si="217"/>
        <v>6774</v>
      </c>
      <c r="U731" s="1">
        <f t="shared" si="217"/>
        <v>5618</v>
      </c>
      <c r="V731" s="1">
        <f t="shared" si="217"/>
        <v>6060</v>
      </c>
    </row>
    <row r="732" spans="1:22" s="7" customFormat="1" x14ac:dyDescent="0.2">
      <c r="A732" s="1" t="s">
        <v>689</v>
      </c>
      <c r="B732" s="1" t="s">
        <v>735</v>
      </c>
      <c r="C732" s="1"/>
      <c r="D732" s="1"/>
      <c r="E732" s="1"/>
      <c r="F732" s="1"/>
      <c r="G732" s="1">
        <v>6684</v>
      </c>
      <c r="H732" s="1">
        <v>4393</v>
      </c>
      <c r="I732" s="1">
        <v>6452</v>
      </c>
      <c r="J732" s="1">
        <v>6754</v>
      </c>
      <c r="K732" s="1">
        <v>2258</v>
      </c>
      <c r="L732" s="1">
        <v>1793</v>
      </c>
      <c r="M732" s="1">
        <v>2224</v>
      </c>
      <c r="N732" s="1">
        <v>2819</v>
      </c>
      <c r="O732" s="1">
        <v>4949</v>
      </c>
      <c r="P732" s="1">
        <v>2639</v>
      </c>
      <c r="Q732" s="1">
        <v>2152</v>
      </c>
      <c r="R732" s="1">
        <v>1774</v>
      </c>
      <c r="S732" s="1">
        <v>1736</v>
      </c>
      <c r="T732" s="1">
        <v>1114</v>
      </c>
      <c r="U732" s="1">
        <v>1083</v>
      </c>
      <c r="V732" s="1">
        <v>1781</v>
      </c>
    </row>
    <row r="733" spans="1:22" s="7" customFormat="1" x14ac:dyDescent="0.2">
      <c r="A733" s="1" t="s">
        <v>689</v>
      </c>
      <c r="B733" s="1" t="s">
        <v>736</v>
      </c>
      <c r="C733" s="1"/>
      <c r="D733" s="1"/>
      <c r="E733" s="1"/>
      <c r="F733" s="1"/>
      <c r="G733" s="1">
        <v>1049</v>
      </c>
      <c r="H733" s="1">
        <v>1056</v>
      </c>
      <c r="I733" s="1">
        <v>792</v>
      </c>
      <c r="J733" s="1">
        <v>769</v>
      </c>
      <c r="K733" s="1">
        <v>597</v>
      </c>
      <c r="L733" s="1">
        <v>401</v>
      </c>
      <c r="M733" s="1">
        <v>585</v>
      </c>
      <c r="N733" s="1">
        <v>1504</v>
      </c>
      <c r="O733" s="1">
        <v>2178</v>
      </c>
      <c r="P733" s="1">
        <v>2398</v>
      </c>
      <c r="Q733" s="1">
        <v>2557</v>
      </c>
      <c r="R733" s="1">
        <v>2042</v>
      </c>
      <c r="S733" s="1">
        <v>2057</v>
      </c>
      <c r="T733" s="1">
        <v>1591</v>
      </c>
      <c r="U733" s="1">
        <v>1232</v>
      </c>
      <c r="V733" s="1">
        <v>995</v>
      </c>
    </row>
    <row r="734" spans="1:22" s="7" customFormat="1" x14ac:dyDescent="0.2">
      <c r="A734" s="1" t="s">
        <v>689</v>
      </c>
      <c r="B734" s="1" t="s">
        <v>737</v>
      </c>
      <c r="C734" s="1">
        <v>1869</v>
      </c>
      <c r="D734" s="1">
        <v>2101</v>
      </c>
      <c r="E734" s="1">
        <v>2374</v>
      </c>
      <c r="F734" s="1">
        <v>2195</v>
      </c>
      <c r="G734" s="1">
        <v>2724</v>
      </c>
      <c r="H734" s="1">
        <v>3327</v>
      </c>
      <c r="I734" s="1">
        <v>3928</v>
      </c>
      <c r="J734" s="1">
        <v>4132</v>
      </c>
      <c r="K734" s="1">
        <v>3248</v>
      </c>
      <c r="L734" s="1">
        <v>2532</v>
      </c>
      <c r="M734" s="1">
        <v>2701</v>
      </c>
      <c r="N734" s="1">
        <v>2989</v>
      </c>
      <c r="O734" s="1">
        <v>3588</v>
      </c>
      <c r="P734" s="1">
        <v>3681</v>
      </c>
      <c r="Q734" s="1">
        <v>3677</v>
      </c>
      <c r="R734" s="1">
        <v>3736</v>
      </c>
      <c r="S734" s="1">
        <v>3773</v>
      </c>
      <c r="T734" s="1">
        <v>3141</v>
      </c>
      <c r="U734" s="1">
        <v>2628</v>
      </c>
      <c r="V734" s="1">
        <v>2557</v>
      </c>
    </row>
    <row r="735" spans="1:22" s="7" customFormat="1" x14ac:dyDescent="0.2">
      <c r="A735" s="1" t="s">
        <v>689</v>
      </c>
      <c r="B735" s="1" t="s">
        <v>738</v>
      </c>
      <c r="C735" s="1"/>
      <c r="D735" s="1"/>
      <c r="E735" s="1"/>
      <c r="F735" s="1"/>
      <c r="G735" s="1">
        <v>204</v>
      </c>
      <c r="H735" s="1">
        <v>148</v>
      </c>
      <c r="I735" s="1">
        <v>134</v>
      </c>
      <c r="J735" s="1">
        <v>133</v>
      </c>
      <c r="K735" s="1">
        <v>135</v>
      </c>
      <c r="L735" s="1">
        <v>163</v>
      </c>
      <c r="M735" s="1">
        <v>73</v>
      </c>
      <c r="N735" s="1">
        <v>115</v>
      </c>
      <c r="O735" s="1">
        <v>186</v>
      </c>
      <c r="P735" s="1">
        <v>66</v>
      </c>
      <c r="Q735" s="1">
        <v>107</v>
      </c>
      <c r="R735" s="1">
        <v>93</v>
      </c>
      <c r="S735" s="1">
        <v>126</v>
      </c>
      <c r="T735" s="1">
        <v>54</v>
      </c>
      <c r="U735" s="1">
        <v>49</v>
      </c>
      <c r="V735" s="1">
        <v>45</v>
      </c>
    </row>
    <row r="736" spans="1:22" s="7" customFormat="1" x14ac:dyDescent="0.2">
      <c r="A736" s="1" t="s">
        <v>689</v>
      </c>
      <c r="B736" s="1" t="s">
        <v>739</v>
      </c>
      <c r="C736" s="1"/>
      <c r="D736" s="1"/>
      <c r="E736" s="1"/>
      <c r="F736" s="1"/>
      <c r="G736" s="1">
        <v>289</v>
      </c>
      <c r="H736" s="1">
        <v>210</v>
      </c>
      <c r="I736" s="1">
        <v>358</v>
      </c>
      <c r="J736" s="1">
        <v>127</v>
      </c>
      <c r="K736" s="1">
        <v>89</v>
      </c>
      <c r="L736" s="1">
        <v>56</v>
      </c>
      <c r="M736" s="1">
        <v>144</v>
      </c>
      <c r="N736" s="1">
        <v>94</v>
      </c>
      <c r="O736" s="1">
        <v>78</v>
      </c>
      <c r="P736" s="1">
        <v>58</v>
      </c>
      <c r="Q736" s="1">
        <v>21</v>
      </c>
      <c r="R736" s="1">
        <v>33</v>
      </c>
      <c r="S736" s="1">
        <v>35</v>
      </c>
      <c r="T736" s="1">
        <v>16</v>
      </c>
      <c r="U736" s="1">
        <v>13</v>
      </c>
      <c r="V736" s="1">
        <v>13</v>
      </c>
    </row>
    <row r="737" spans="1:22" s="7" customFormat="1" x14ac:dyDescent="0.2">
      <c r="A737" s="1" t="s">
        <v>689</v>
      </c>
      <c r="B737" s="1" t="s">
        <v>740</v>
      </c>
      <c r="C737" s="1"/>
      <c r="D737" s="1"/>
      <c r="E737" s="1"/>
      <c r="F737" s="1"/>
      <c r="G737" s="1">
        <v>18</v>
      </c>
      <c r="H737" s="1">
        <v>1</v>
      </c>
      <c r="I737" s="1">
        <v>57</v>
      </c>
      <c r="J737" s="1">
        <v>1</v>
      </c>
      <c r="K737" s="1">
        <v>0</v>
      </c>
      <c r="L737" s="1">
        <v>0</v>
      </c>
      <c r="M737" s="1">
        <v>0</v>
      </c>
      <c r="N737" s="1">
        <v>0</v>
      </c>
      <c r="O737" s="1">
        <v>0</v>
      </c>
      <c r="P737" s="1">
        <v>0</v>
      </c>
      <c r="Q737" s="1">
        <v>0</v>
      </c>
      <c r="R737" s="1">
        <v>0</v>
      </c>
      <c r="S737" s="1">
        <v>21</v>
      </c>
      <c r="T737" s="1">
        <v>0</v>
      </c>
      <c r="U737" s="1">
        <v>2</v>
      </c>
      <c r="V737" s="1">
        <v>26</v>
      </c>
    </row>
    <row r="738" spans="1:22" s="7" customFormat="1" x14ac:dyDescent="0.2">
      <c r="A738" s="1" t="s">
        <v>689</v>
      </c>
      <c r="B738" s="1" t="s">
        <v>741</v>
      </c>
      <c r="C738" s="1"/>
      <c r="D738" s="1"/>
      <c r="E738" s="1"/>
      <c r="F738" s="1"/>
      <c r="G738" s="1">
        <v>65</v>
      </c>
      <c r="H738" s="1">
        <v>81</v>
      </c>
      <c r="I738" s="1">
        <v>40</v>
      </c>
      <c r="J738" s="1">
        <v>31</v>
      </c>
      <c r="K738" s="1">
        <v>34</v>
      </c>
      <c r="L738" s="1">
        <v>22</v>
      </c>
      <c r="M738" s="1">
        <v>56</v>
      </c>
      <c r="N738" s="1">
        <v>16</v>
      </c>
      <c r="O738" s="1">
        <v>46</v>
      </c>
      <c r="P738" s="1">
        <v>26</v>
      </c>
      <c r="Q738" s="1">
        <v>40</v>
      </c>
      <c r="R738" s="1">
        <v>48</v>
      </c>
      <c r="S738" s="1">
        <v>31</v>
      </c>
      <c r="T738" s="1">
        <v>29</v>
      </c>
      <c r="U738" s="1">
        <v>19</v>
      </c>
      <c r="V738" s="1">
        <v>20</v>
      </c>
    </row>
    <row r="739" spans="1:22" s="7" customFormat="1" x14ac:dyDescent="0.2">
      <c r="A739" s="1" t="s">
        <v>689</v>
      </c>
      <c r="B739" s="1" t="s">
        <v>742</v>
      </c>
      <c r="C739" s="1"/>
      <c r="D739" s="1"/>
      <c r="E739" s="1"/>
      <c r="F739" s="1"/>
      <c r="G739" s="1">
        <v>49</v>
      </c>
      <c r="H739" s="1">
        <v>44</v>
      </c>
      <c r="I739" s="1">
        <v>5</v>
      </c>
      <c r="J739" s="1">
        <v>0</v>
      </c>
      <c r="K739" s="1">
        <v>80</v>
      </c>
      <c r="L739" s="1">
        <v>38</v>
      </c>
      <c r="M739" s="1">
        <v>0</v>
      </c>
      <c r="N739" s="1">
        <v>16</v>
      </c>
      <c r="O739" s="1">
        <v>10</v>
      </c>
      <c r="P739" s="1">
        <v>3</v>
      </c>
      <c r="Q739" s="1">
        <v>6</v>
      </c>
      <c r="R739" s="1">
        <v>3</v>
      </c>
      <c r="S739" s="1">
        <v>83</v>
      </c>
      <c r="T739" s="1">
        <v>6</v>
      </c>
      <c r="U739" s="1">
        <v>53</v>
      </c>
      <c r="V739" s="1">
        <v>3</v>
      </c>
    </row>
    <row r="740" spans="1:22" s="7" customFormat="1" x14ac:dyDescent="0.2">
      <c r="A740" s="1" t="s">
        <v>689</v>
      </c>
      <c r="B740" s="1" t="s">
        <v>743</v>
      </c>
      <c r="C740" s="1"/>
      <c r="D740" s="1"/>
      <c r="E740" s="1"/>
      <c r="F740" s="1"/>
      <c r="G740" s="1">
        <v>93</v>
      </c>
      <c r="H740" s="1">
        <v>89</v>
      </c>
      <c r="I740" s="1">
        <v>103</v>
      </c>
      <c r="J740" s="1">
        <v>113</v>
      </c>
      <c r="K740" s="1">
        <v>89</v>
      </c>
      <c r="L740" s="1">
        <v>135</v>
      </c>
      <c r="M740" s="1">
        <v>117</v>
      </c>
      <c r="N740" s="1">
        <v>128</v>
      </c>
      <c r="O740" s="1">
        <v>110</v>
      </c>
      <c r="P740" s="1">
        <v>126</v>
      </c>
      <c r="Q740" s="1">
        <v>127</v>
      </c>
      <c r="R740" s="1">
        <v>184</v>
      </c>
      <c r="S740" s="1">
        <v>139</v>
      </c>
      <c r="T740" s="1">
        <v>161</v>
      </c>
      <c r="U740" s="1">
        <v>139</v>
      </c>
      <c r="V740" s="1">
        <v>176</v>
      </c>
    </row>
    <row r="741" spans="1:22" s="7" customFormat="1" x14ac:dyDescent="0.2">
      <c r="A741" s="1" t="s">
        <v>689</v>
      </c>
      <c r="B741" s="1" t="s">
        <v>744</v>
      </c>
      <c r="C741" s="1"/>
      <c r="D741" s="1"/>
      <c r="E741" s="1"/>
      <c r="F741" s="1"/>
      <c r="G741" s="1">
        <v>0</v>
      </c>
      <c r="H741" s="1">
        <v>1</v>
      </c>
      <c r="I741" s="1">
        <v>0</v>
      </c>
      <c r="J741" s="1">
        <v>1</v>
      </c>
      <c r="K741" s="1">
        <v>0</v>
      </c>
      <c r="L741" s="1">
        <v>0</v>
      </c>
      <c r="M741" s="1">
        <v>0</v>
      </c>
      <c r="N741" s="1">
        <v>0</v>
      </c>
      <c r="O741" s="1">
        <v>0</v>
      </c>
      <c r="P741" s="1">
        <v>0</v>
      </c>
      <c r="Q741" s="1">
        <v>0</v>
      </c>
      <c r="R741" s="1">
        <v>0</v>
      </c>
      <c r="S741" s="1">
        <v>4</v>
      </c>
      <c r="T741" s="1">
        <v>2</v>
      </c>
      <c r="U741" s="1">
        <v>2</v>
      </c>
      <c r="V741" s="1">
        <v>2</v>
      </c>
    </row>
    <row r="742" spans="1:22" s="7" customFormat="1" x14ac:dyDescent="0.2">
      <c r="A742" s="1" t="s">
        <v>689</v>
      </c>
      <c r="B742" s="1" t="s">
        <v>745</v>
      </c>
      <c r="C742" s="1"/>
      <c r="D742" s="1"/>
      <c r="E742" s="1"/>
      <c r="F742" s="1"/>
      <c r="G742" s="1">
        <v>6381</v>
      </c>
      <c r="H742" s="1">
        <v>9411</v>
      </c>
      <c r="I742" s="1">
        <v>8044</v>
      </c>
      <c r="J742" s="1">
        <v>6080</v>
      </c>
      <c r="K742" s="1">
        <v>2042</v>
      </c>
      <c r="L742" s="1">
        <v>1190</v>
      </c>
      <c r="M742" s="1">
        <v>927</v>
      </c>
      <c r="N742" s="1">
        <v>845</v>
      </c>
      <c r="O742" s="1">
        <v>659</v>
      </c>
      <c r="P742" s="1">
        <v>172</v>
      </c>
      <c r="Q742" s="1">
        <v>55</v>
      </c>
      <c r="R742" s="1">
        <v>78</v>
      </c>
      <c r="S742" s="1">
        <v>155</v>
      </c>
      <c r="T742" s="1">
        <v>108</v>
      </c>
      <c r="U742" s="1">
        <v>73</v>
      </c>
      <c r="V742" s="1">
        <v>36</v>
      </c>
    </row>
    <row r="743" spans="1:22" x14ac:dyDescent="0.2">
      <c r="A743" s="1" t="s">
        <v>689</v>
      </c>
      <c r="B743" s="1" t="s">
        <v>746</v>
      </c>
      <c r="G743" s="1">
        <v>0</v>
      </c>
      <c r="H743" s="1">
        <v>0</v>
      </c>
      <c r="I743" s="1">
        <v>0</v>
      </c>
      <c r="J743" s="1">
        <v>0</v>
      </c>
      <c r="K743" s="1">
        <v>0</v>
      </c>
      <c r="L743" s="1">
        <v>0</v>
      </c>
      <c r="M743" s="1">
        <v>0</v>
      </c>
      <c r="N743" s="1">
        <v>0</v>
      </c>
      <c r="O743" s="1">
        <v>0</v>
      </c>
      <c r="P743" s="1">
        <v>0</v>
      </c>
      <c r="Q743" s="1">
        <v>0</v>
      </c>
      <c r="R743" s="1">
        <v>74</v>
      </c>
      <c r="S743" s="1">
        <v>259</v>
      </c>
      <c r="T743" s="1">
        <v>91</v>
      </c>
      <c r="U743" s="1">
        <v>50</v>
      </c>
      <c r="V743" s="1">
        <v>36</v>
      </c>
    </row>
    <row r="744" spans="1:22" x14ac:dyDescent="0.2">
      <c r="A744" s="1" t="s">
        <v>689</v>
      </c>
      <c r="B744" s="1" t="s">
        <v>747</v>
      </c>
      <c r="G744" s="1">
        <v>0</v>
      </c>
      <c r="H744" s="1">
        <v>0</v>
      </c>
      <c r="I744" s="1">
        <v>0</v>
      </c>
      <c r="J744" s="1">
        <v>0</v>
      </c>
      <c r="K744" s="1">
        <v>0</v>
      </c>
      <c r="L744" s="1">
        <v>0</v>
      </c>
      <c r="M744" s="1">
        <v>0</v>
      </c>
      <c r="N744" s="1">
        <v>0</v>
      </c>
      <c r="O744" s="1">
        <v>0</v>
      </c>
      <c r="P744" s="1">
        <v>0</v>
      </c>
      <c r="Q744" s="1">
        <v>0</v>
      </c>
      <c r="R744" s="1">
        <v>0</v>
      </c>
      <c r="S744" s="1">
        <v>0</v>
      </c>
      <c r="T744" s="1">
        <v>1</v>
      </c>
      <c r="U744" s="1">
        <v>2</v>
      </c>
      <c r="V744" s="1">
        <v>2</v>
      </c>
    </row>
    <row r="745" spans="1:22" x14ac:dyDescent="0.2">
      <c r="A745" s="1" t="s">
        <v>689</v>
      </c>
      <c r="B745" s="1" t="s">
        <v>748</v>
      </c>
      <c r="G745" s="1">
        <v>0</v>
      </c>
      <c r="H745" s="1">
        <v>0</v>
      </c>
      <c r="I745" s="1">
        <v>0</v>
      </c>
      <c r="J745" s="1">
        <v>0</v>
      </c>
      <c r="K745" s="1">
        <v>0</v>
      </c>
      <c r="L745" s="1">
        <v>0</v>
      </c>
      <c r="M745" s="1">
        <v>0</v>
      </c>
      <c r="N745" s="1">
        <v>0</v>
      </c>
      <c r="O745" s="1">
        <v>0</v>
      </c>
      <c r="P745" s="1">
        <v>0</v>
      </c>
      <c r="Q745" s="1">
        <v>0</v>
      </c>
      <c r="R745" s="1">
        <v>0</v>
      </c>
      <c r="S745" s="1">
        <v>77</v>
      </c>
      <c r="T745" s="1">
        <v>198</v>
      </c>
      <c r="U745" s="1">
        <v>136</v>
      </c>
      <c r="V745" s="1">
        <v>102</v>
      </c>
    </row>
    <row r="746" spans="1:22" x14ac:dyDescent="0.2">
      <c r="A746" s="1" t="s">
        <v>689</v>
      </c>
      <c r="B746" s="1" t="s">
        <v>749</v>
      </c>
      <c r="G746" s="1">
        <v>497</v>
      </c>
      <c r="H746" s="1">
        <v>629</v>
      </c>
      <c r="I746" s="1">
        <v>423</v>
      </c>
      <c r="J746" s="1">
        <v>734</v>
      </c>
      <c r="K746" s="1">
        <v>583</v>
      </c>
      <c r="L746" s="1">
        <v>359</v>
      </c>
      <c r="M746" s="1">
        <v>1367</v>
      </c>
      <c r="N746" s="1">
        <v>1781</v>
      </c>
      <c r="O746" s="1">
        <v>1233</v>
      </c>
      <c r="P746" s="1">
        <v>520</v>
      </c>
      <c r="Q746" s="1">
        <v>916</v>
      </c>
      <c r="R746" s="1">
        <v>767</v>
      </c>
      <c r="S746" s="1">
        <v>956</v>
      </c>
      <c r="T746" s="1">
        <v>262</v>
      </c>
      <c r="U746" s="1">
        <v>137</v>
      </c>
      <c r="V746" s="1">
        <v>266</v>
      </c>
    </row>
    <row r="747" spans="1:22" x14ac:dyDescent="0.2">
      <c r="A747" s="1" t="s">
        <v>689</v>
      </c>
      <c r="B747" s="1" t="s">
        <v>750</v>
      </c>
      <c r="C747" s="1">
        <f t="shared" ref="C747:V747" si="218">SUM(C748:C753)</f>
        <v>0</v>
      </c>
      <c r="D747" s="1">
        <f t="shared" si="218"/>
        <v>0</v>
      </c>
      <c r="E747" s="1">
        <f t="shared" si="218"/>
        <v>0</v>
      </c>
      <c r="F747" s="1">
        <f t="shared" si="218"/>
        <v>0</v>
      </c>
      <c r="G747" s="1">
        <f t="shared" si="218"/>
        <v>16790</v>
      </c>
      <c r="H747" s="1">
        <f t="shared" si="218"/>
        <v>18967</v>
      </c>
      <c r="I747" s="1">
        <f t="shared" si="218"/>
        <v>18298</v>
      </c>
      <c r="J747" s="1">
        <f t="shared" si="218"/>
        <v>13711</v>
      </c>
      <c r="K747" s="1">
        <f t="shared" si="218"/>
        <v>12981</v>
      </c>
      <c r="L747" s="1">
        <f t="shared" si="218"/>
        <v>14722</v>
      </c>
      <c r="M747" s="1">
        <f t="shared" si="218"/>
        <v>16763</v>
      </c>
      <c r="N747" s="1">
        <f t="shared" si="218"/>
        <v>18139</v>
      </c>
      <c r="O747" s="1">
        <f t="shared" si="218"/>
        <v>18510</v>
      </c>
      <c r="P747" s="1">
        <f t="shared" si="218"/>
        <v>20085</v>
      </c>
      <c r="Q747" s="1">
        <f t="shared" si="218"/>
        <v>14214</v>
      </c>
      <c r="R747" s="1">
        <f t="shared" si="218"/>
        <v>11964</v>
      </c>
      <c r="S747" s="1">
        <f t="shared" si="218"/>
        <v>12369</v>
      </c>
      <c r="T747" s="1">
        <f t="shared" si="218"/>
        <v>9204</v>
      </c>
      <c r="U747" s="1">
        <f t="shared" si="218"/>
        <v>8841</v>
      </c>
      <c r="V747" s="1">
        <f t="shared" si="218"/>
        <v>10582</v>
      </c>
    </row>
    <row r="748" spans="1:22" x14ac:dyDescent="0.2">
      <c r="A748" s="1" t="s">
        <v>689</v>
      </c>
      <c r="B748" s="1" t="s">
        <v>751</v>
      </c>
      <c r="G748" s="1">
        <v>16790</v>
      </c>
      <c r="H748" s="1">
        <v>18967</v>
      </c>
      <c r="I748" s="1">
        <v>18298</v>
      </c>
      <c r="J748" s="1">
        <v>13711</v>
      </c>
      <c r="K748" s="1">
        <v>12981</v>
      </c>
      <c r="L748" s="1">
        <v>14722</v>
      </c>
      <c r="M748" s="1">
        <v>16763</v>
      </c>
      <c r="N748" s="1">
        <v>18139</v>
      </c>
      <c r="O748" s="1">
        <v>18510</v>
      </c>
      <c r="P748" s="1">
        <v>20085</v>
      </c>
      <c r="Q748" s="1">
        <v>14214</v>
      </c>
      <c r="R748" s="1">
        <v>11964</v>
      </c>
      <c r="S748" s="1">
        <v>12130</v>
      </c>
      <c r="T748" s="1">
        <v>8881</v>
      </c>
      <c r="U748" s="1">
        <v>8418</v>
      </c>
      <c r="V748" s="1">
        <v>9819</v>
      </c>
    </row>
    <row r="749" spans="1:22" x14ac:dyDescent="0.2">
      <c r="A749" s="1" t="s">
        <v>689</v>
      </c>
      <c r="B749" s="1" t="s">
        <v>752</v>
      </c>
      <c r="S749" s="1">
        <v>16</v>
      </c>
      <c r="T749" s="1">
        <v>0</v>
      </c>
      <c r="U749" s="1">
        <v>0</v>
      </c>
      <c r="V749" s="1">
        <v>0</v>
      </c>
    </row>
    <row r="750" spans="1:22" x14ac:dyDescent="0.2">
      <c r="A750" s="1" t="s">
        <v>689</v>
      </c>
      <c r="B750" s="1" t="s">
        <v>753</v>
      </c>
      <c r="S750" s="1">
        <v>0</v>
      </c>
      <c r="T750" s="1">
        <v>0</v>
      </c>
      <c r="U750" s="1">
        <v>0</v>
      </c>
      <c r="V750" s="1">
        <v>0</v>
      </c>
    </row>
    <row r="751" spans="1:22" x14ac:dyDescent="0.2">
      <c r="A751" s="1" t="s">
        <v>689</v>
      </c>
      <c r="B751" s="1" t="s">
        <v>754</v>
      </c>
      <c r="S751" s="1">
        <v>0</v>
      </c>
      <c r="T751" s="1">
        <v>0</v>
      </c>
      <c r="U751" s="1">
        <v>0</v>
      </c>
      <c r="V751" s="1">
        <v>0</v>
      </c>
    </row>
    <row r="752" spans="1:22" x14ac:dyDescent="0.2">
      <c r="A752" s="1" t="s">
        <v>689</v>
      </c>
      <c r="B752" s="1" t="s">
        <v>755</v>
      </c>
      <c r="S752" s="1">
        <v>210</v>
      </c>
      <c r="T752" s="1">
        <v>323</v>
      </c>
      <c r="U752" s="1">
        <v>423</v>
      </c>
      <c r="V752" s="1">
        <v>763</v>
      </c>
    </row>
    <row r="753" spans="1:23" x14ac:dyDescent="0.2">
      <c r="A753" s="1" t="s">
        <v>689</v>
      </c>
      <c r="B753" s="1" t="s">
        <v>756</v>
      </c>
      <c r="S753" s="1">
        <v>13</v>
      </c>
      <c r="T753" s="1">
        <v>0</v>
      </c>
      <c r="U753" s="1">
        <v>0</v>
      </c>
      <c r="V753" s="1">
        <v>0</v>
      </c>
    </row>
    <row r="754" spans="1:23" x14ac:dyDescent="0.2">
      <c r="A754" s="1" t="s">
        <v>689</v>
      </c>
      <c r="B754" s="1" t="s">
        <v>757</v>
      </c>
      <c r="G754" s="1">
        <v>0</v>
      </c>
      <c r="H754" s="1">
        <v>0</v>
      </c>
      <c r="I754" s="1">
        <v>0</v>
      </c>
      <c r="J754" s="1">
        <v>0</v>
      </c>
      <c r="K754" s="1">
        <v>0</v>
      </c>
      <c r="L754" s="1">
        <v>0</v>
      </c>
      <c r="M754" s="1">
        <v>0</v>
      </c>
      <c r="N754" s="1">
        <v>0</v>
      </c>
      <c r="O754" s="1">
        <v>1651</v>
      </c>
      <c r="P754" s="1">
        <v>0</v>
      </c>
      <c r="Q754" s="1">
        <v>4923</v>
      </c>
      <c r="R754" s="1">
        <v>5719</v>
      </c>
      <c r="S754" s="1">
        <v>3828</v>
      </c>
      <c r="T754" s="1">
        <v>3901</v>
      </c>
      <c r="U754" s="1">
        <v>4000</v>
      </c>
      <c r="V754" s="1">
        <v>5115</v>
      </c>
    </row>
    <row r="755" spans="1:23" x14ac:dyDescent="0.2">
      <c r="A755" s="1" t="s">
        <v>689</v>
      </c>
      <c r="B755" s="1" t="s">
        <v>758</v>
      </c>
    </row>
    <row r="756" spans="1:23" x14ac:dyDescent="0.2">
      <c r="A756" s="1" t="s">
        <v>689</v>
      </c>
      <c r="B756" s="1" t="s">
        <v>759</v>
      </c>
      <c r="V756" s="1">
        <v>17933</v>
      </c>
    </row>
    <row r="757" spans="1:23" x14ac:dyDescent="0.2">
      <c r="A757" s="1" t="s">
        <v>689</v>
      </c>
      <c r="B757" s="1" t="s">
        <v>760</v>
      </c>
      <c r="V757" s="1">
        <v>132</v>
      </c>
    </row>
    <row r="758" spans="1:23" x14ac:dyDescent="0.2">
      <c r="A758" s="1" t="s">
        <v>689</v>
      </c>
      <c r="B758" s="1" t="s">
        <v>761</v>
      </c>
      <c r="V758" s="1">
        <v>3041</v>
      </c>
    </row>
    <row r="759" spans="1:23" x14ac:dyDescent="0.2">
      <c r="A759" s="1" t="s">
        <v>689</v>
      </c>
      <c r="B759" s="1" t="s">
        <v>762</v>
      </c>
      <c r="C759" s="1">
        <v>6329</v>
      </c>
      <c r="D759" s="1">
        <v>5583</v>
      </c>
      <c r="E759" s="1">
        <v>5805</v>
      </c>
      <c r="F759" s="1">
        <v>6488</v>
      </c>
      <c r="G759" s="1">
        <v>7046</v>
      </c>
      <c r="H759" s="1">
        <v>7050</v>
      </c>
      <c r="I759" s="1">
        <v>6598</v>
      </c>
      <c r="J759" s="1">
        <v>6983</v>
      </c>
      <c r="K759" s="1">
        <v>8774</v>
      </c>
      <c r="L759" s="1">
        <v>10217</v>
      </c>
      <c r="M759" s="1">
        <v>11449</v>
      </c>
      <c r="N759" s="1">
        <v>10871</v>
      </c>
      <c r="O759" s="1">
        <v>9388</v>
      </c>
      <c r="P759" s="1">
        <v>9579</v>
      </c>
      <c r="Q759" s="1">
        <v>9863</v>
      </c>
      <c r="R759" s="1">
        <v>8686</v>
      </c>
      <c r="S759" s="1">
        <v>8637</v>
      </c>
      <c r="T759" s="1">
        <v>9892</v>
      </c>
      <c r="U759" s="1">
        <v>9669</v>
      </c>
      <c r="V759" s="1">
        <v>11542</v>
      </c>
      <c r="W759" s="7"/>
    </row>
    <row r="760" spans="1:23" x14ac:dyDescent="0.2">
      <c r="A760" s="1" t="s">
        <v>689</v>
      </c>
      <c r="B760" s="1" t="s">
        <v>763</v>
      </c>
      <c r="C760" s="1">
        <v>11091</v>
      </c>
      <c r="D760" s="1">
        <v>13334</v>
      </c>
      <c r="E760" s="1">
        <v>13002</v>
      </c>
      <c r="F760" s="1">
        <v>12479</v>
      </c>
      <c r="G760" s="1">
        <v>16315</v>
      </c>
      <c r="H760" s="1">
        <v>14987</v>
      </c>
      <c r="I760" s="1">
        <v>13321</v>
      </c>
      <c r="J760" s="1">
        <v>10862</v>
      </c>
      <c r="K760" s="1">
        <v>12569</v>
      </c>
      <c r="L760" s="1">
        <v>18706</v>
      </c>
      <c r="M760" s="1">
        <v>20577</v>
      </c>
      <c r="N760" s="1">
        <v>23817</v>
      </c>
      <c r="O760" s="1">
        <v>24353</v>
      </c>
      <c r="P760" s="1">
        <v>24777</v>
      </c>
      <c r="Q760" s="1">
        <v>25641</v>
      </c>
      <c r="R760" s="1">
        <v>25983</v>
      </c>
      <c r="S760" s="1">
        <v>24853</v>
      </c>
      <c r="T760" s="1">
        <v>24285</v>
      </c>
      <c r="U760" s="1">
        <v>24604</v>
      </c>
      <c r="V760" s="1">
        <v>26700</v>
      </c>
      <c r="W760" s="7"/>
    </row>
    <row r="761" spans="1:23" x14ac:dyDescent="0.2">
      <c r="A761" s="1" t="s">
        <v>689</v>
      </c>
      <c r="B761" s="1" t="s">
        <v>764</v>
      </c>
      <c r="C761" s="1">
        <v>86</v>
      </c>
      <c r="D761" s="1">
        <v>32</v>
      </c>
      <c r="E761" s="1">
        <v>70</v>
      </c>
      <c r="F761" s="1">
        <v>9</v>
      </c>
      <c r="G761" s="1">
        <v>24</v>
      </c>
      <c r="H761" s="1">
        <v>9</v>
      </c>
      <c r="I761" s="1">
        <v>18</v>
      </c>
      <c r="J761" s="1">
        <v>15</v>
      </c>
      <c r="K761" s="1">
        <v>14</v>
      </c>
      <c r="L761" s="1">
        <v>11</v>
      </c>
      <c r="M761" s="1">
        <v>20</v>
      </c>
      <c r="N761" s="1">
        <v>40</v>
      </c>
      <c r="O761" s="1">
        <v>10</v>
      </c>
      <c r="P761" s="1">
        <v>5</v>
      </c>
      <c r="Q761" s="1">
        <v>9</v>
      </c>
      <c r="R761" s="1">
        <v>2</v>
      </c>
      <c r="S761" s="1">
        <v>10</v>
      </c>
      <c r="T761" s="1">
        <v>5</v>
      </c>
      <c r="U761" s="1">
        <v>46</v>
      </c>
      <c r="V761" s="1">
        <v>49</v>
      </c>
      <c r="W761" s="7"/>
    </row>
    <row r="762" spans="1:23" x14ac:dyDescent="0.2">
      <c r="A762" s="1" t="s">
        <v>689</v>
      </c>
      <c r="B762" s="1" t="s">
        <v>765</v>
      </c>
      <c r="C762" s="1">
        <v>30312</v>
      </c>
      <c r="D762" s="1">
        <v>33897</v>
      </c>
      <c r="E762" s="1">
        <v>34056</v>
      </c>
      <c r="F762" s="1">
        <v>35084</v>
      </c>
      <c r="G762" s="1">
        <v>39672</v>
      </c>
      <c r="H762" s="1">
        <v>39690</v>
      </c>
      <c r="I762" s="1">
        <v>36567</v>
      </c>
      <c r="J762" s="1">
        <v>33313</v>
      </c>
      <c r="K762" s="1">
        <v>28644</v>
      </c>
      <c r="L762" s="1">
        <v>39142</v>
      </c>
      <c r="M762" s="1">
        <v>40642</v>
      </c>
      <c r="N762" s="1">
        <v>38036</v>
      </c>
      <c r="O762" s="1">
        <v>24877</v>
      </c>
      <c r="P762" s="1">
        <v>34659</v>
      </c>
      <c r="Q762" s="1">
        <v>55798</v>
      </c>
      <c r="R762" s="1">
        <v>46733</v>
      </c>
      <c r="S762" s="1">
        <v>40988</v>
      </c>
      <c r="T762" s="1">
        <v>41602</v>
      </c>
      <c r="U762" s="1">
        <v>48265</v>
      </c>
      <c r="V762" s="1">
        <v>59538</v>
      </c>
      <c r="W762" s="7"/>
    </row>
    <row r="763" spans="1:23" x14ac:dyDescent="0.2">
      <c r="A763" s="1" t="s">
        <v>689</v>
      </c>
      <c r="B763" s="1" t="s">
        <v>766</v>
      </c>
      <c r="C763" s="1">
        <v>889</v>
      </c>
      <c r="D763" s="1">
        <v>652</v>
      </c>
      <c r="E763" s="1">
        <v>449</v>
      </c>
      <c r="F763" s="1">
        <v>366</v>
      </c>
      <c r="G763" s="1">
        <v>327</v>
      </c>
      <c r="H763" s="1">
        <v>193</v>
      </c>
      <c r="I763" s="1">
        <v>122</v>
      </c>
      <c r="J763" s="1">
        <v>84</v>
      </c>
      <c r="K763" s="1">
        <v>121</v>
      </c>
      <c r="L763" s="1">
        <v>83</v>
      </c>
      <c r="M763" s="1">
        <v>113</v>
      </c>
      <c r="N763" s="1">
        <v>114</v>
      </c>
      <c r="O763" s="1">
        <v>107</v>
      </c>
      <c r="P763" s="1">
        <v>71</v>
      </c>
      <c r="Q763" s="1">
        <v>60</v>
      </c>
      <c r="R763" s="1">
        <v>53</v>
      </c>
      <c r="S763" s="1">
        <v>69</v>
      </c>
      <c r="T763" s="1">
        <v>46</v>
      </c>
      <c r="U763" s="1">
        <v>0</v>
      </c>
      <c r="V763" s="1">
        <v>0</v>
      </c>
      <c r="W763" s="7"/>
    </row>
    <row r="764" spans="1:23" s="7" customFormat="1" x14ac:dyDescent="0.2">
      <c r="A764" s="1" t="s">
        <v>689</v>
      </c>
      <c r="B764" s="1" t="s">
        <v>767</v>
      </c>
      <c r="C764" s="1">
        <v>428</v>
      </c>
      <c r="D764" s="1">
        <v>547</v>
      </c>
      <c r="E764" s="1">
        <v>394</v>
      </c>
      <c r="F764" s="1">
        <v>268</v>
      </c>
      <c r="G764" s="1">
        <v>1023</v>
      </c>
      <c r="H764" s="1">
        <v>323</v>
      </c>
      <c r="I764" s="1">
        <v>227</v>
      </c>
      <c r="J764" s="1">
        <v>189</v>
      </c>
      <c r="K764" s="1">
        <v>276</v>
      </c>
      <c r="L764" s="1">
        <v>236</v>
      </c>
      <c r="M764" s="1">
        <v>173</v>
      </c>
      <c r="N764" s="1">
        <v>566</v>
      </c>
      <c r="O764" s="1">
        <v>856</v>
      </c>
      <c r="P764" s="1">
        <v>793</v>
      </c>
      <c r="Q764" s="1">
        <v>388</v>
      </c>
      <c r="R764" s="1">
        <f>486+215</f>
        <v>701</v>
      </c>
      <c r="S764" s="1">
        <v>803</v>
      </c>
      <c r="T764" s="1">
        <v>1196</v>
      </c>
      <c r="U764" s="1">
        <v>768</v>
      </c>
      <c r="V764" s="1">
        <v>1102</v>
      </c>
    </row>
    <row r="765" spans="1:23" x14ac:dyDescent="0.2">
      <c r="A765" s="1" t="s">
        <v>689</v>
      </c>
      <c r="B765" s="1" t="s">
        <v>768</v>
      </c>
      <c r="C765" s="1">
        <v>0</v>
      </c>
      <c r="D765" s="1">
        <v>0</v>
      </c>
      <c r="E765" s="1">
        <v>0</v>
      </c>
      <c r="F765" s="1">
        <v>0</v>
      </c>
      <c r="G765" s="1">
        <v>0</v>
      </c>
      <c r="H765" s="1">
        <v>0</v>
      </c>
      <c r="I765" s="1">
        <v>0</v>
      </c>
      <c r="J765" s="1">
        <v>0</v>
      </c>
      <c r="K765" s="1">
        <v>0</v>
      </c>
      <c r="L765" s="1">
        <v>0</v>
      </c>
      <c r="M765" s="1">
        <v>0</v>
      </c>
      <c r="N765" s="1">
        <v>0</v>
      </c>
      <c r="O765" s="1">
        <v>0</v>
      </c>
      <c r="P765" s="1">
        <v>0</v>
      </c>
      <c r="Q765" s="1">
        <v>0</v>
      </c>
      <c r="R765" s="1">
        <v>0</v>
      </c>
      <c r="S765" s="1">
        <v>460</v>
      </c>
      <c r="T765" s="1">
        <v>315</v>
      </c>
      <c r="U765" s="1">
        <v>285</v>
      </c>
      <c r="V765" s="1">
        <v>373</v>
      </c>
      <c r="W765" s="7"/>
    </row>
    <row r="766" spans="1:23" x14ac:dyDescent="0.2">
      <c r="A766" s="1" t="s">
        <v>689</v>
      </c>
      <c r="B766" s="1" t="s">
        <v>769</v>
      </c>
      <c r="C766" s="1">
        <v>0</v>
      </c>
      <c r="D766" s="1">
        <v>0</v>
      </c>
      <c r="E766" s="1">
        <v>0</v>
      </c>
      <c r="F766" s="1">
        <v>0</v>
      </c>
      <c r="G766" s="1">
        <v>0</v>
      </c>
      <c r="H766" s="1">
        <v>0</v>
      </c>
      <c r="I766" s="1">
        <v>0</v>
      </c>
      <c r="J766" s="1">
        <v>0</v>
      </c>
      <c r="K766" s="1">
        <v>0</v>
      </c>
      <c r="L766" s="1">
        <v>0</v>
      </c>
      <c r="M766" s="1">
        <v>0</v>
      </c>
      <c r="N766" s="1">
        <v>0</v>
      </c>
      <c r="O766" s="1">
        <v>0</v>
      </c>
      <c r="P766" s="1">
        <v>0</v>
      </c>
      <c r="Q766" s="1">
        <v>0</v>
      </c>
      <c r="R766" s="1">
        <v>0</v>
      </c>
      <c r="S766" s="1">
        <v>508</v>
      </c>
      <c r="T766" s="1">
        <v>640</v>
      </c>
      <c r="U766" s="1">
        <v>391</v>
      </c>
      <c r="V766" s="1">
        <v>1</v>
      </c>
      <c r="W766" s="7"/>
    </row>
    <row r="767" spans="1:23" x14ac:dyDescent="0.2">
      <c r="A767" s="1" t="s">
        <v>689</v>
      </c>
      <c r="B767" s="1" t="s">
        <v>770</v>
      </c>
      <c r="C767" s="1">
        <v>1972</v>
      </c>
      <c r="D767" s="1">
        <v>2342</v>
      </c>
      <c r="E767" s="1">
        <v>1578</v>
      </c>
      <c r="F767" s="1">
        <v>1558</v>
      </c>
      <c r="G767" s="1">
        <v>2440</v>
      </c>
      <c r="H767" s="1">
        <v>1964</v>
      </c>
      <c r="I767" s="1">
        <v>1107</v>
      </c>
      <c r="J767" s="1">
        <v>725</v>
      </c>
      <c r="K767" s="1">
        <v>1101</v>
      </c>
      <c r="L767" s="1">
        <v>906</v>
      </c>
      <c r="M767" s="1">
        <v>2276</v>
      </c>
      <c r="N767" s="1">
        <f>1164+28</f>
        <v>1192</v>
      </c>
      <c r="O767" s="1">
        <f>1691+95</f>
        <v>1786</v>
      </c>
      <c r="P767" s="1">
        <f>1299+8</f>
        <v>1307</v>
      </c>
      <c r="Q767" s="1">
        <f>723+25</f>
        <v>748</v>
      </c>
      <c r="R767" s="1">
        <f>858+37</f>
        <v>895</v>
      </c>
      <c r="S767" s="1">
        <f>494+3+30</f>
        <v>527</v>
      </c>
      <c r="T767" s="1">
        <f>583+5</f>
        <v>588</v>
      </c>
      <c r="U767" s="1">
        <v>230</v>
      </c>
      <c r="V767" s="1">
        <f>284+8</f>
        <v>292</v>
      </c>
      <c r="W767" s="7"/>
    </row>
    <row r="768" spans="1:23" x14ac:dyDescent="0.2">
      <c r="A768" s="1" t="s">
        <v>689</v>
      </c>
      <c r="B768" s="1" t="s">
        <v>771</v>
      </c>
      <c r="C768" s="1">
        <v>0</v>
      </c>
      <c r="D768" s="1">
        <v>0</v>
      </c>
      <c r="E768" s="1">
        <v>0</v>
      </c>
      <c r="F768" s="1">
        <v>0</v>
      </c>
      <c r="G768" s="1">
        <v>0</v>
      </c>
      <c r="H768" s="1">
        <v>0</v>
      </c>
      <c r="I768" s="1">
        <v>0</v>
      </c>
      <c r="J768" s="1">
        <v>0</v>
      </c>
      <c r="K768" s="1">
        <v>0</v>
      </c>
      <c r="L768" s="1">
        <v>0</v>
      </c>
      <c r="M768" s="1">
        <v>0</v>
      </c>
      <c r="N768" s="1">
        <v>0</v>
      </c>
      <c r="O768" s="1">
        <v>0</v>
      </c>
      <c r="P768" s="1">
        <v>0</v>
      </c>
      <c r="Q768" s="1">
        <v>322</v>
      </c>
      <c r="R768" s="1">
        <v>313</v>
      </c>
      <c r="S768" s="1">
        <v>411</v>
      </c>
      <c r="T768" s="1">
        <v>363</v>
      </c>
      <c r="U768" s="1">
        <v>325</v>
      </c>
      <c r="V768" s="1">
        <v>495</v>
      </c>
      <c r="W768" s="7"/>
    </row>
    <row r="769" spans="1:23" x14ac:dyDescent="0.2">
      <c r="A769" s="1" t="s">
        <v>689</v>
      </c>
      <c r="B769" s="1" t="s">
        <v>772</v>
      </c>
      <c r="V769" s="1">
        <v>359</v>
      </c>
      <c r="W769" s="7"/>
    </row>
    <row r="770" spans="1:23" x14ac:dyDescent="0.2">
      <c r="A770" s="1" t="s">
        <v>689</v>
      </c>
      <c r="B770" s="1" t="s">
        <v>773</v>
      </c>
      <c r="C770" s="1">
        <v>0</v>
      </c>
      <c r="D770" s="1">
        <v>0</v>
      </c>
      <c r="E770" s="1">
        <v>0</v>
      </c>
      <c r="F770" s="1">
        <v>0</v>
      </c>
      <c r="G770" s="1">
        <v>0</v>
      </c>
      <c r="H770" s="1">
        <v>0</v>
      </c>
      <c r="I770" s="1">
        <v>0</v>
      </c>
      <c r="J770" s="1">
        <v>0</v>
      </c>
      <c r="K770" s="1">
        <v>0</v>
      </c>
      <c r="L770" s="1">
        <v>0</v>
      </c>
      <c r="M770" s="1">
        <v>0</v>
      </c>
      <c r="N770" s="1">
        <v>0</v>
      </c>
      <c r="O770" s="1">
        <v>0</v>
      </c>
      <c r="P770" s="1">
        <v>109</v>
      </c>
      <c r="Q770" s="1">
        <v>341</v>
      </c>
      <c r="R770" s="1">
        <v>895</v>
      </c>
      <c r="S770" s="1">
        <v>1315</v>
      </c>
      <c r="T770" s="1">
        <v>1504</v>
      </c>
      <c r="U770" s="1">
        <v>1806</v>
      </c>
      <c r="V770" s="1">
        <v>1782</v>
      </c>
      <c r="W770" s="7"/>
    </row>
    <row r="771" spans="1:23" x14ac:dyDescent="0.2">
      <c r="A771" s="1" t="s">
        <v>689</v>
      </c>
      <c r="B771" s="1" t="s">
        <v>774</v>
      </c>
      <c r="C771" s="1">
        <v>0</v>
      </c>
      <c r="D771" s="1">
        <v>0</v>
      </c>
      <c r="E771" s="1">
        <v>0</v>
      </c>
      <c r="F771" s="1">
        <v>0</v>
      </c>
      <c r="G771" s="1">
        <v>0</v>
      </c>
      <c r="H771" s="1">
        <v>0</v>
      </c>
      <c r="I771" s="1">
        <v>0</v>
      </c>
      <c r="J771" s="1">
        <v>0</v>
      </c>
      <c r="K771" s="1">
        <v>0</v>
      </c>
      <c r="L771" s="1">
        <v>0</v>
      </c>
      <c r="M771" s="1">
        <v>0</v>
      </c>
      <c r="N771" s="1">
        <v>0</v>
      </c>
      <c r="O771" s="1">
        <v>0</v>
      </c>
      <c r="P771" s="1">
        <v>0</v>
      </c>
      <c r="Q771" s="1">
        <v>0</v>
      </c>
      <c r="R771" s="1">
        <v>2936</v>
      </c>
      <c r="S771" s="1">
        <v>2204</v>
      </c>
      <c r="T771" s="1">
        <v>1556</v>
      </c>
      <c r="U771" s="1">
        <v>735</v>
      </c>
      <c r="V771" s="1">
        <v>1</v>
      </c>
      <c r="W771" s="7"/>
    </row>
    <row r="772" spans="1:23" x14ac:dyDescent="0.2">
      <c r="A772" s="1" t="s">
        <v>689</v>
      </c>
      <c r="B772" s="1" t="s">
        <v>775</v>
      </c>
      <c r="C772" s="1">
        <v>0</v>
      </c>
      <c r="D772" s="1">
        <v>0</v>
      </c>
      <c r="E772" s="1">
        <v>0</v>
      </c>
      <c r="F772" s="1">
        <v>0</v>
      </c>
      <c r="G772" s="1">
        <v>0</v>
      </c>
      <c r="H772" s="1">
        <v>0</v>
      </c>
      <c r="I772" s="1">
        <v>0</v>
      </c>
      <c r="J772" s="1">
        <v>0</v>
      </c>
      <c r="K772" s="1">
        <v>0</v>
      </c>
      <c r="L772" s="1">
        <v>508</v>
      </c>
      <c r="M772" s="1">
        <v>1900</v>
      </c>
      <c r="N772" s="1">
        <v>2170</v>
      </c>
      <c r="O772" s="1">
        <v>3906</v>
      </c>
      <c r="P772" s="1">
        <v>473</v>
      </c>
      <c r="Q772" s="1">
        <v>759</v>
      </c>
      <c r="R772" s="1">
        <v>619</v>
      </c>
      <c r="S772" s="1">
        <v>649</v>
      </c>
      <c r="T772" s="1">
        <v>332</v>
      </c>
      <c r="U772" s="1">
        <v>569</v>
      </c>
      <c r="V772" s="1">
        <v>407</v>
      </c>
      <c r="W772" s="7"/>
    </row>
    <row r="773" spans="1:23" x14ac:dyDescent="0.2">
      <c r="A773" s="1" t="s">
        <v>689</v>
      </c>
      <c r="B773" s="1" t="s">
        <v>776</v>
      </c>
      <c r="C773" s="1">
        <v>0</v>
      </c>
      <c r="D773" s="1">
        <v>0</v>
      </c>
      <c r="E773" s="1">
        <v>0</v>
      </c>
      <c r="F773" s="1">
        <v>0</v>
      </c>
      <c r="G773" s="1">
        <v>0</v>
      </c>
      <c r="H773" s="1">
        <v>0</v>
      </c>
      <c r="I773" s="1">
        <v>0</v>
      </c>
      <c r="J773" s="1">
        <v>0</v>
      </c>
      <c r="K773" s="1">
        <v>0</v>
      </c>
      <c r="L773" s="1">
        <v>0</v>
      </c>
      <c r="M773" s="1">
        <v>0</v>
      </c>
      <c r="N773" s="1">
        <v>0</v>
      </c>
      <c r="O773" s="1">
        <v>0</v>
      </c>
      <c r="P773" s="1">
        <v>0</v>
      </c>
      <c r="Q773" s="1">
        <v>242</v>
      </c>
      <c r="R773" s="1">
        <v>348</v>
      </c>
      <c r="S773" s="1">
        <v>0</v>
      </c>
      <c r="T773" s="1">
        <v>0</v>
      </c>
      <c r="U773" s="1">
        <v>0</v>
      </c>
      <c r="V773" s="1">
        <v>0</v>
      </c>
      <c r="W773" s="7"/>
    </row>
    <row r="774" spans="1:23" x14ac:dyDescent="0.2">
      <c r="A774" s="1" t="s">
        <v>689</v>
      </c>
      <c r="B774" s="1" t="s">
        <v>777</v>
      </c>
      <c r="C774" s="1">
        <v>0</v>
      </c>
      <c r="D774" s="1">
        <v>0</v>
      </c>
      <c r="E774" s="1">
        <v>0</v>
      </c>
      <c r="F774" s="1">
        <v>0</v>
      </c>
      <c r="G774" s="1">
        <v>0</v>
      </c>
      <c r="H774" s="1">
        <v>0</v>
      </c>
      <c r="I774" s="1">
        <v>0</v>
      </c>
      <c r="J774" s="1">
        <v>0</v>
      </c>
      <c r="K774" s="1">
        <v>0</v>
      </c>
      <c r="L774" s="1">
        <v>0</v>
      </c>
      <c r="M774" s="1">
        <v>0</v>
      </c>
      <c r="N774" s="1">
        <v>0</v>
      </c>
      <c r="O774" s="1">
        <v>0</v>
      </c>
      <c r="P774" s="1">
        <v>0</v>
      </c>
      <c r="Q774" s="1">
        <v>113</v>
      </c>
      <c r="R774" s="1">
        <v>0</v>
      </c>
      <c r="S774" s="1">
        <v>0</v>
      </c>
      <c r="T774" s="1">
        <v>0</v>
      </c>
      <c r="U774" s="1">
        <v>0</v>
      </c>
      <c r="V774" s="1">
        <v>0</v>
      </c>
      <c r="W774" s="7"/>
    </row>
    <row r="775" spans="1:23" x14ac:dyDescent="0.2">
      <c r="A775" s="1" t="s">
        <v>689</v>
      </c>
      <c r="B775" s="1" t="s">
        <v>778</v>
      </c>
      <c r="C775" s="1">
        <v>12671</v>
      </c>
      <c r="D775" s="1">
        <v>14324</v>
      </c>
      <c r="E775" s="1">
        <v>15293</v>
      </c>
      <c r="F775" s="1">
        <v>17713</v>
      </c>
      <c r="G775" s="1">
        <v>22416</v>
      </c>
      <c r="H775" s="1">
        <v>21274</v>
      </c>
      <c r="I775" s="1">
        <v>23257</v>
      </c>
      <c r="J775" s="1">
        <v>16681</v>
      </c>
      <c r="K775" s="1">
        <v>15173</v>
      </c>
      <c r="L775" s="1">
        <v>15692</v>
      </c>
      <c r="M775" s="1">
        <v>20451</v>
      </c>
      <c r="N775" s="1">
        <v>23651</v>
      </c>
      <c r="O775" s="1">
        <v>24158</v>
      </c>
      <c r="P775" s="1">
        <v>21345</v>
      </c>
      <c r="Q775" s="1">
        <v>19795</v>
      </c>
      <c r="R775" s="1">
        <v>18948</v>
      </c>
      <c r="S775" s="1">
        <v>16367</v>
      </c>
      <c r="T775" s="1">
        <v>13627</v>
      </c>
      <c r="U775" s="1">
        <v>13751</v>
      </c>
      <c r="V775" s="1">
        <v>16087</v>
      </c>
      <c r="W775" s="7"/>
    </row>
    <row r="776" spans="1:23" x14ac:dyDescent="0.2">
      <c r="A776" s="1" t="s">
        <v>689</v>
      </c>
      <c r="B776" s="1" t="s">
        <v>779</v>
      </c>
      <c r="C776" s="1">
        <v>3284</v>
      </c>
      <c r="D776" s="1">
        <v>2634</v>
      </c>
      <c r="E776" s="1">
        <v>2389</v>
      </c>
      <c r="F776" s="1">
        <v>2419</v>
      </c>
      <c r="G776" s="1">
        <v>3184</v>
      </c>
      <c r="H776" s="1">
        <v>3174</v>
      </c>
      <c r="I776" s="1">
        <v>3510</v>
      </c>
      <c r="J776" s="1">
        <v>3923</v>
      </c>
      <c r="K776" s="1">
        <v>3443</v>
      </c>
      <c r="L776" s="1">
        <v>3254</v>
      </c>
      <c r="M776" s="1">
        <v>2712</v>
      </c>
      <c r="N776" s="1">
        <v>2572</v>
      </c>
      <c r="O776" s="1">
        <v>2791</v>
      </c>
      <c r="P776" s="1">
        <v>2503</v>
      </c>
      <c r="Q776" s="1">
        <v>2312</v>
      </c>
      <c r="R776" s="1">
        <v>1536</v>
      </c>
      <c r="S776" s="1">
        <v>1263</v>
      </c>
      <c r="T776" s="1">
        <v>1183</v>
      </c>
      <c r="U776" s="1">
        <v>915</v>
      </c>
      <c r="V776" s="1">
        <v>762</v>
      </c>
      <c r="W776" s="7"/>
    </row>
    <row r="777" spans="1:23" x14ac:dyDescent="0.2">
      <c r="A777" s="1" t="s">
        <v>689</v>
      </c>
      <c r="B777" s="1" t="s">
        <v>780</v>
      </c>
      <c r="C777" s="1">
        <v>2781</v>
      </c>
      <c r="D777" s="1">
        <v>2847</v>
      </c>
      <c r="E777" s="1">
        <v>2587</v>
      </c>
      <c r="F777" s="1">
        <v>3929</v>
      </c>
      <c r="G777" s="1">
        <v>8569</v>
      </c>
      <c r="H777" s="1">
        <v>11141</v>
      </c>
      <c r="I777" s="1">
        <v>8995</v>
      </c>
      <c r="J777" s="1">
        <v>6635</v>
      </c>
      <c r="K777" s="1">
        <v>2060</v>
      </c>
      <c r="L777" s="1">
        <v>1878</v>
      </c>
      <c r="M777" s="1">
        <v>1581</v>
      </c>
      <c r="N777" s="1">
        <v>1435</v>
      </c>
      <c r="O777" s="1">
        <v>986</v>
      </c>
      <c r="P777" s="1">
        <v>241</v>
      </c>
      <c r="Q777" s="1">
        <v>363</v>
      </c>
      <c r="R777" s="1">
        <v>257</v>
      </c>
      <c r="S777" s="1">
        <v>0</v>
      </c>
      <c r="T777" s="1">
        <v>0</v>
      </c>
      <c r="U777" s="1">
        <v>0</v>
      </c>
      <c r="V777" s="1">
        <v>0</v>
      </c>
      <c r="W777" s="7"/>
    </row>
    <row r="778" spans="1:23" x14ac:dyDescent="0.2">
      <c r="A778" s="1" t="s">
        <v>689</v>
      </c>
      <c r="B778" s="1" t="s">
        <v>781</v>
      </c>
      <c r="C778" s="1">
        <v>0</v>
      </c>
      <c r="D778" s="1">
        <v>0</v>
      </c>
      <c r="E778" s="1">
        <v>0</v>
      </c>
      <c r="F778" s="1">
        <v>0</v>
      </c>
      <c r="G778" s="1">
        <v>0</v>
      </c>
      <c r="H778" s="1">
        <v>0</v>
      </c>
      <c r="I778" s="1">
        <v>0</v>
      </c>
      <c r="J778" s="1">
        <v>0</v>
      </c>
      <c r="K778" s="1">
        <v>0</v>
      </c>
      <c r="L778" s="1">
        <v>0</v>
      </c>
      <c r="M778" s="1">
        <v>0</v>
      </c>
      <c r="N778" s="1">
        <v>0</v>
      </c>
      <c r="O778" s="1">
        <v>0</v>
      </c>
      <c r="P778" s="1">
        <v>0</v>
      </c>
      <c r="Q778" s="1">
        <v>0</v>
      </c>
      <c r="R778" s="1">
        <v>0</v>
      </c>
      <c r="S778" s="1">
        <v>14</v>
      </c>
      <c r="T778" s="1">
        <v>20</v>
      </c>
      <c r="U778" s="1">
        <v>2</v>
      </c>
      <c r="V778" s="1">
        <v>3</v>
      </c>
      <c r="W778" s="7"/>
    </row>
    <row r="779" spans="1:23" x14ac:dyDescent="0.2">
      <c r="A779" s="1" t="s">
        <v>689</v>
      </c>
      <c r="B779" s="1" t="s">
        <v>782</v>
      </c>
      <c r="C779" s="1">
        <v>0</v>
      </c>
      <c r="D779" s="1">
        <v>0</v>
      </c>
      <c r="E779" s="1">
        <v>0</v>
      </c>
      <c r="F779" s="1">
        <v>0</v>
      </c>
      <c r="G779" s="1">
        <v>0</v>
      </c>
      <c r="H779" s="1">
        <v>0</v>
      </c>
      <c r="I779" s="1">
        <v>0</v>
      </c>
      <c r="J779" s="1">
        <v>0</v>
      </c>
      <c r="K779" s="1">
        <v>0</v>
      </c>
      <c r="L779" s="1">
        <v>0</v>
      </c>
      <c r="M779" s="1">
        <v>0</v>
      </c>
      <c r="N779" s="1">
        <v>0</v>
      </c>
      <c r="O779" s="1">
        <v>0</v>
      </c>
      <c r="P779" s="1">
        <v>0</v>
      </c>
      <c r="Q779" s="1">
        <v>0</v>
      </c>
      <c r="R779" s="1">
        <v>0</v>
      </c>
      <c r="S779" s="1">
        <v>330</v>
      </c>
      <c r="T779" s="1">
        <v>217</v>
      </c>
      <c r="U779" s="1">
        <v>199</v>
      </c>
      <c r="V779" s="1">
        <v>149</v>
      </c>
      <c r="W779" s="7"/>
    </row>
    <row r="780" spans="1:23" x14ac:dyDescent="0.2">
      <c r="A780" s="1" t="s">
        <v>689</v>
      </c>
      <c r="B780" s="1" t="s">
        <v>783</v>
      </c>
      <c r="C780" s="1">
        <v>0</v>
      </c>
      <c r="D780" s="1">
        <v>0</v>
      </c>
      <c r="E780" s="1">
        <v>0</v>
      </c>
      <c r="F780" s="1">
        <v>0</v>
      </c>
      <c r="G780" s="1">
        <v>0</v>
      </c>
      <c r="H780" s="1">
        <v>0</v>
      </c>
      <c r="I780" s="1">
        <v>0</v>
      </c>
      <c r="J780" s="1">
        <v>0</v>
      </c>
      <c r="K780" s="1">
        <v>0</v>
      </c>
      <c r="L780" s="1">
        <v>0</v>
      </c>
      <c r="M780" s="1">
        <v>0</v>
      </c>
      <c r="N780" s="1">
        <v>0</v>
      </c>
      <c r="O780" s="1">
        <v>0</v>
      </c>
      <c r="P780" s="1">
        <v>0</v>
      </c>
      <c r="Q780" s="1">
        <v>0</v>
      </c>
      <c r="R780" s="1">
        <v>0</v>
      </c>
      <c r="S780" s="1">
        <v>21</v>
      </c>
      <c r="T780" s="1">
        <v>21</v>
      </c>
      <c r="U780" s="1">
        <v>23</v>
      </c>
      <c r="V780" s="1">
        <v>14</v>
      </c>
      <c r="W780" s="7"/>
    </row>
    <row r="781" spans="1:23" x14ac:dyDescent="0.2">
      <c r="A781" s="1" t="s">
        <v>689</v>
      </c>
      <c r="B781" s="1" t="s">
        <v>784</v>
      </c>
      <c r="C781" s="1">
        <v>0</v>
      </c>
      <c r="D781" s="1">
        <v>0</v>
      </c>
      <c r="E781" s="1">
        <v>0</v>
      </c>
      <c r="F781" s="1">
        <v>0</v>
      </c>
      <c r="G781" s="1">
        <v>0</v>
      </c>
      <c r="H781" s="1">
        <v>0</v>
      </c>
      <c r="I781" s="1">
        <v>0</v>
      </c>
      <c r="J781" s="1">
        <v>0</v>
      </c>
      <c r="K781" s="1">
        <v>0</v>
      </c>
      <c r="L781" s="1">
        <v>0</v>
      </c>
      <c r="M781" s="1">
        <v>0</v>
      </c>
      <c r="N781" s="1">
        <v>0</v>
      </c>
      <c r="O781" s="1">
        <v>0</v>
      </c>
      <c r="P781" s="1">
        <v>0</v>
      </c>
      <c r="Q781" s="1">
        <v>0</v>
      </c>
      <c r="R781" s="1">
        <v>0</v>
      </c>
      <c r="S781" s="1">
        <v>27</v>
      </c>
      <c r="T781" s="1">
        <v>16</v>
      </c>
      <c r="U781" s="1">
        <v>8</v>
      </c>
      <c r="V781" s="1">
        <v>17</v>
      </c>
      <c r="W781" s="7"/>
    </row>
    <row r="782" spans="1:23" x14ac:dyDescent="0.2">
      <c r="A782" s="1" t="s">
        <v>689</v>
      </c>
      <c r="B782" s="1" t="s">
        <v>785</v>
      </c>
      <c r="C782" s="1">
        <v>33335</v>
      </c>
      <c r="D782" s="1">
        <v>31940</v>
      </c>
      <c r="E782" s="1">
        <v>34485</v>
      </c>
      <c r="F782" s="1">
        <v>39598</v>
      </c>
      <c r="G782" s="1">
        <v>55673</v>
      </c>
      <c r="H782" s="1">
        <v>59348</v>
      </c>
      <c r="I782" s="1">
        <v>64661</v>
      </c>
      <c r="J782" s="1">
        <v>80905</v>
      </c>
      <c r="K782" s="1">
        <v>112044</v>
      </c>
      <c r="L782" s="1">
        <v>147654</v>
      </c>
      <c r="M782" s="1">
        <v>148064</v>
      </c>
      <c r="N782" s="1">
        <v>166899</v>
      </c>
      <c r="O782" s="1">
        <v>85376</v>
      </c>
      <c r="P782" s="1">
        <v>80657</v>
      </c>
      <c r="Q782" s="1">
        <v>73979</v>
      </c>
      <c r="R782" s="1">
        <v>68828</v>
      </c>
      <c r="S782" s="1">
        <v>9907</v>
      </c>
      <c r="T782" s="1">
        <v>1140</v>
      </c>
      <c r="U782" s="1">
        <v>6</v>
      </c>
      <c r="V782" s="1">
        <v>0</v>
      </c>
      <c r="W782" s="7"/>
    </row>
    <row r="783" spans="1:23" x14ac:dyDescent="0.2">
      <c r="A783" s="1" t="s">
        <v>689</v>
      </c>
      <c r="B783" s="1" t="s">
        <v>786</v>
      </c>
      <c r="V783" s="1">
        <v>0</v>
      </c>
      <c r="W783" s="7"/>
    </row>
    <row r="784" spans="1:23" x14ac:dyDescent="0.2">
      <c r="A784" s="1" t="s">
        <v>689</v>
      </c>
      <c r="B784" s="1" t="s">
        <v>787</v>
      </c>
      <c r="C784" s="1">
        <v>0</v>
      </c>
      <c r="D784" s="1">
        <v>0</v>
      </c>
      <c r="E784" s="1">
        <v>0</v>
      </c>
      <c r="F784" s="1">
        <v>0</v>
      </c>
      <c r="G784" s="1">
        <v>0</v>
      </c>
      <c r="H784" s="1">
        <v>0</v>
      </c>
      <c r="I784" s="1">
        <v>0</v>
      </c>
      <c r="J784" s="1">
        <v>0</v>
      </c>
      <c r="K784" s="1">
        <v>0</v>
      </c>
      <c r="L784" s="1">
        <v>0</v>
      </c>
      <c r="M784" s="1">
        <v>0</v>
      </c>
      <c r="N784" s="1">
        <v>0</v>
      </c>
      <c r="O784" s="1">
        <v>0</v>
      </c>
      <c r="P784" s="1">
        <v>0</v>
      </c>
      <c r="Q784" s="1">
        <v>0</v>
      </c>
      <c r="R784" s="1">
        <v>0</v>
      </c>
      <c r="S784" s="1">
        <v>15043</v>
      </c>
      <c r="T784" s="1">
        <v>19246</v>
      </c>
      <c r="U784" s="1">
        <v>18386</v>
      </c>
      <c r="V784" s="1">
        <v>20456</v>
      </c>
      <c r="W784" s="7"/>
    </row>
    <row r="785" spans="1:23" x14ac:dyDescent="0.2">
      <c r="A785" s="1" t="s">
        <v>689</v>
      </c>
      <c r="B785" s="1" t="s">
        <v>788</v>
      </c>
      <c r="C785" s="1">
        <v>0</v>
      </c>
      <c r="D785" s="1">
        <v>0</v>
      </c>
      <c r="E785" s="1">
        <v>0</v>
      </c>
      <c r="F785" s="1">
        <v>0</v>
      </c>
      <c r="G785" s="1">
        <v>0</v>
      </c>
      <c r="H785" s="1">
        <v>0</v>
      </c>
      <c r="I785" s="1">
        <v>0</v>
      </c>
      <c r="J785" s="1">
        <v>0</v>
      </c>
      <c r="K785" s="1">
        <v>0</v>
      </c>
      <c r="L785" s="1">
        <v>0</v>
      </c>
      <c r="M785" s="1">
        <v>0</v>
      </c>
      <c r="N785" s="1">
        <v>0</v>
      </c>
      <c r="O785" s="1">
        <v>0</v>
      </c>
      <c r="P785" s="1">
        <v>0</v>
      </c>
      <c r="Q785" s="1">
        <v>0</v>
      </c>
      <c r="R785" s="1">
        <v>0</v>
      </c>
      <c r="S785" s="1">
        <v>11125</v>
      </c>
      <c r="T785" s="1">
        <v>19741</v>
      </c>
      <c r="U785" s="1">
        <v>22714</v>
      </c>
      <c r="V785" s="1">
        <v>29185</v>
      </c>
      <c r="W785" s="7"/>
    </row>
    <row r="786" spans="1:23" x14ac:dyDescent="0.2">
      <c r="A786" s="1" t="s">
        <v>689</v>
      </c>
      <c r="B786" s="1" t="s">
        <v>789</v>
      </c>
      <c r="V786" s="1">
        <v>5434</v>
      </c>
      <c r="W786" s="7"/>
    </row>
    <row r="787" spans="1:23" x14ac:dyDescent="0.2">
      <c r="A787" s="1" t="s">
        <v>689</v>
      </c>
      <c r="B787" s="1" t="s">
        <v>790</v>
      </c>
      <c r="C787" s="1">
        <v>0</v>
      </c>
      <c r="D787" s="1">
        <v>0</v>
      </c>
      <c r="E787" s="1">
        <v>0</v>
      </c>
      <c r="F787" s="1">
        <v>0</v>
      </c>
      <c r="G787" s="1">
        <v>0</v>
      </c>
      <c r="H787" s="1">
        <v>0</v>
      </c>
      <c r="I787" s="1">
        <v>0</v>
      </c>
      <c r="J787" s="1">
        <v>0</v>
      </c>
      <c r="K787" s="1">
        <v>0</v>
      </c>
      <c r="L787" s="1">
        <v>0</v>
      </c>
      <c r="M787" s="1">
        <v>0</v>
      </c>
      <c r="N787" s="1">
        <v>0</v>
      </c>
      <c r="O787" s="1">
        <v>0</v>
      </c>
      <c r="P787" s="1">
        <v>0</v>
      </c>
      <c r="Q787" s="1">
        <v>0</v>
      </c>
      <c r="R787" s="1">
        <v>0</v>
      </c>
      <c r="S787" s="1">
        <v>32471</v>
      </c>
      <c r="T787" s="1">
        <v>27065</v>
      </c>
      <c r="U787" s="1">
        <v>30491</v>
      </c>
      <c r="V787" s="1">
        <v>813</v>
      </c>
      <c r="W787" s="7"/>
    </row>
    <row r="788" spans="1:23" x14ac:dyDescent="0.2">
      <c r="A788" s="1" t="s">
        <v>689</v>
      </c>
      <c r="B788" s="1" t="s">
        <v>791</v>
      </c>
      <c r="V788" s="1">
        <v>10281</v>
      </c>
      <c r="W788" s="7"/>
    </row>
    <row r="789" spans="1:23" x14ac:dyDescent="0.2">
      <c r="A789" s="1" t="s">
        <v>689</v>
      </c>
      <c r="B789" s="1" t="s">
        <v>792</v>
      </c>
      <c r="V789" s="1">
        <v>1681</v>
      </c>
      <c r="W789" s="7"/>
    </row>
    <row r="790" spans="1:23" x14ac:dyDescent="0.2">
      <c r="A790" s="1" t="s">
        <v>689</v>
      </c>
      <c r="B790" s="1" t="s">
        <v>793</v>
      </c>
      <c r="V790" s="1">
        <v>17671</v>
      </c>
      <c r="W790" s="7"/>
    </row>
    <row r="791" spans="1:23" x14ac:dyDescent="0.2">
      <c r="A791" s="1" t="s">
        <v>689</v>
      </c>
      <c r="B791" s="1" t="s">
        <v>794</v>
      </c>
      <c r="C791" s="1">
        <v>409</v>
      </c>
      <c r="D791" s="1">
        <v>445</v>
      </c>
      <c r="E791" s="1">
        <v>309</v>
      </c>
      <c r="F791" s="1">
        <v>209</v>
      </c>
      <c r="G791" s="1">
        <v>126</v>
      </c>
      <c r="H791" s="1">
        <v>119</v>
      </c>
      <c r="I791" s="1">
        <v>93</v>
      </c>
      <c r="J791" s="1">
        <v>92</v>
      </c>
      <c r="K791" s="1">
        <v>133</v>
      </c>
      <c r="L791" s="1">
        <v>248</v>
      </c>
      <c r="M791" s="1">
        <v>497</v>
      </c>
      <c r="N791" s="1">
        <v>539</v>
      </c>
      <c r="O791" s="1">
        <v>654</v>
      </c>
      <c r="P791" s="1">
        <v>540</v>
      </c>
      <c r="Q791" s="1">
        <v>456</v>
      </c>
      <c r="R791" s="1">
        <v>302</v>
      </c>
      <c r="S791" s="1">
        <v>197</v>
      </c>
      <c r="T791" s="1">
        <v>209</v>
      </c>
      <c r="U791" s="1">
        <v>150</v>
      </c>
      <c r="V791" s="1">
        <v>118</v>
      </c>
      <c r="W791" s="7"/>
    </row>
    <row r="792" spans="1:23" x14ac:dyDescent="0.2">
      <c r="A792" s="1" t="s">
        <v>689</v>
      </c>
      <c r="B792" s="1" t="s">
        <v>795</v>
      </c>
      <c r="V792" s="1">
        <v>16</v>
      </c>
      <c r="W792" s="7"/>
    </row>
    <row r="793" spans="1:23" x14ac:dyDescent="0.2">
      <c r="A793" s="1" t="s">
        <v>689</v>
      </c>
      <c r="B793" s="1" t="s">
        <v>796</v>
      </c>
      <c r="V793" s="1">
        <v>5</v>
      </c>
      <c r="W793" s="7"/>
    </row>
    <row r="794" spans="1:23" x14ac:dyDescent="0.2">
      <c r="A794" s="1" t="s">
        <v>689</v>
      </c>
      <c r="B794" s="1" t="s">
        <v>797</v>
      </c>
      <c r="V794" s="1">
        <v>61</v>
      </c>
      <c r="W794" s="7"/>
    </row>
    <row r="795" spans="1:23" x14ac:dyDescent="0.2">
      <c r="A795" s="1" t="s">
        <v>689</v>
      </c>
      <c r="B795" s="1" t="s">
        <v>798</v>
      </c>
      <c r="C795" s="1">
        <v>0</v>
      </c>
      <c r="D795" s="1">
        <v>0</v>
      </c>
      <c r="E795" s="1">
        <v>0</v>
      </c>
      <c r="F795" s="1">
        <v>0</v>
      </c>
      <c r="G795" s="1">
        <v>0</v>
      </c>
      <c r="H795" s="1">
        <v>0</v>
      </c>
      <c r="I795" s="1">
        <v>0</v>
      </c>
      <c r="J795" s="1">
        <v>0</v>
      </c>
      <c r="K795" s="1">
        <v>0</v>
      </c>
      <c r="L795" s="1">
        <v>0</v>
      </c>
      <c r="M795" s="1">
        <v>0</v>
      </c>
      <c r="N795" s="1">
        <v>0</v>
      </c>
      <c r="O795" s="1">
        <v>0</v>
      </c>
      <c r="P795" s="1">
        <v>0</v>
      </c>
      <c r="Q795" s="1">
        <v>0</v>
      </c>
      <c r="R795" s="1">
        <v>0</v>
      </c>
      <c r="S795" s="1">
        <v>0</v>
      </c>
      <c r="T795" s="1">
        <v>0</v>
      </c>
      <c r="U795" s="1">
        <v>0</v>
      </c>
      <c r="V795" s="1">
        <v>0</v>
      </c>
      <c r="W795" s="7"/>
    </row>
    <row r="796" spans="1:23" s="7" customFormat="1" x14ac:dyDescent="0.2">
      <c r="A796" s="1" t="s">
        <v>689</v>
      </c>
      <c r="B796" s="1" t="s">
        <v>799</v>
      </c>
      <c r="C796" s="1">
        <v>201</v>
      </c>
      <c r="D796" s="1">
        <v>179</v>
      </c>
      <c r="E796" s="1">
        <v>293</v>
      </c>
      <c r="F796" s="1">
        <v>314</v>
      </c>
      <c r="G796" s="1">
        <v>249</v>
      </c>
      <c r="H796" s="1">
        <v>196</v>
      </c>
      <c r="I796" s="1">
        <v>193</v>
      </c>
      <c r="J796" s="1">
        <v>181</v>
      </c>
      <c r="K796" s="1">
        <v>199</v>
      </c>
      <c r="L796" s="1">
        <v>205</v>
      </c>
      <c r="M796" s="1">
        <v>334</v>
      </c>
      <c r="N796" s="1">
        <v>355</v>
      </c>
      <c r="O796" s="1">
        <v>378</v>
      </c>
      <c r="P796" s="1">
        <v>385</v>
      </c>
      <c r="Q796" s="1">
        <v>454</v>
      </c>
      <c r="R796" s="1">
        <v>427</v>
      </c>
      <c r="S796" s="1">
        <v>364</v>
      </c>
      <c r="T796" s="1">
        <v>338</v>
      </c>
      <c r="U796" s="1">
        <v>259</v>
      </c>
      <c r="V796" s="1">
        <v>370</v>
      </c>
    </row>
    <row r="797" spans="1:23" s="7" customFormat="1" x14ac:dyDescent="0.2">
      <c r="A797" s="1" t="s">
        <v>689</v>
      </c>
      <c r="B797" s="1" t="s">
        <v>800</v>
      </c>
      <c r="C797" s="1">
        <f>4699-1218</f>
        <v>3481</v>
      </c>
      <c r="D797" s="1">
        <f>5011-759</f>
        <v>4252</v>
      </c>
      <c r="E797" s="1">
        <f>5558-724</f>
        <v>4834</v>
      </c>
      <c r="F797" s="1">
        <f>6856-842</f>
        <v>6014</v>
      </c>
      <c r="G797" s="1">
        <f>6684+263</f>
        <v>6947</v>
      </c>
      <c r="H797" s="1">
        <f>6128+435</f>
        <v>6563</v>
      </c>
      <c r="I797" s="1">
        <f>6111+464</f>
        <v>6575</v>
      </c>
      <c r="J797" s="1">
        <f>5931-153</f>
        <v>5778</v>
      </c>
      <c r="K797" s="1">
        <f>7367-936</f>
        <v>6431</v>
      </c>
      <c r="L797" s="1">
        <f>10034-1350</f>
        <v>8684</v>
      </c>
      <c r="M797" s="1">
        <f>11334-1151</f>
        <v>10183</v>
      </c>
      <c r="N797" s="1">
        <f>10935-506</f>
        <v>10429</v>
      </c>
      <c r="O797" s="1">
        <f>6774-1038</f>
        <v>5736</v>
      </c>
      <c r="P797" s="1">
        <f>5639-623</f>
        <v>5016</v>
      </c>
      <c r="Q797" s="1">
        <f>5051-991</f>
        <v>4060</v>
      </c>
      <c r="R797" s="1">
        <v>4415</v>
      </c>
      <c r="S797" s="1">
        <v>3921</v>
      </c>
      <c r="T797" s="1">
        <v>4041</v>
      </c>
      <c r="U797" s="1">
        <v>4021</v>
      </c>
      <c r="V797" s="1">
        <v>4170</v>
      </c>
    </row>
    <row r="798" spans="1:23" s="7" customFormat="1" x14ac:dyDescent="0.2">
      <c r="A798" s="1" t="s">
        <v>689</v>
      </c>
      <c r="B798" s="1" t="s">
        <v>801</v>
      </c>
      <c r="C798" s="1"/>
      <c r="D798" s="1"/>
      <c r="E798" s="1"/>
      <c r="F798" s="1"/>
      <c r="G798" s="1"/>
      <c r="H798" s="1"/>
      <c r="I798" s="1"/>
      <c r="J798" s="1"/>
      <c r="K798" s="1"/>
      <c r="L798" s="1"/>
      <c r="M798" s="1"/>
      <c r="N798" s="1"/>
      <c r="O798" s="1"/>
      <c r="P798" s="1"/>
      <c r="Q798" s="1"/>
      <c r="R798" s="1"/>
      <c r="S798" s="1">
        <v>82</v>
      </c>
      <c r="T798" s="1">
        <v>104</v>
      </c>
      <c r="U798" s="1">
        <v>214</v>
      </c>
      <c r="V798" s="1">
        <v>211</v>
      </c>
    </row>
    <row r="799" spans="1:23" s="7" customFormat="1" x14ac:dyDescent="0.2">
      <c r="A799" s="1" t="s">
        <v>689</v>
      </c>
      <c r="B799" s="1" t="s">
        <v>802</v>
      </c>
      <c r="C799" s="1">
        <v>0</v>
      </c>
      <c r="D799" s="1">
        <v>0</v>
      </c>
      <c r="E799" s="1">
        <v>0</v>
      </c>
      <c r="F799" s="1">
        <v>0</v>
      </c>
      <c r="G799" s="1">
        <v>0</v>
      </c>
      <c r="H799" s="1">
        <v>0</v>
      </c>
      <c r="I799" s="1">
        <v>0</v>
      </c>
      <c r="J799" s="1">
        <v>0</v>
      </c>
      <c r="K799" s="1">
        <v>0</v>
      </c>
      <c r="L799" s="1">
        <v>0</v>
      </c>
      <c r="M799" s="1">
        <v>0</v>
      </c>
      <c r="N799" s="1">
        <v>0</v>
      </c>
      <c r="O799" s="1">
        <v>0</v>
      </c>
      <c r="P799" s="1">
        <v>0</v>
      </c>
      <c r="Q799" s="1">
        <v>0</v>
      </c>
      <c r="R799" s="1">
        <v>0</v>
      </c>
      <c r="S799" s="1">
        <v>108</v>
      </c>
      <c r="T799" s="1">
        <v>42</v>
      </c>
      <c r="U799" s="1">
        <v>68</v>
      </c>
      <c r="V799" s="1">
        <v>78</v>
      </c>
    </row>
    <row r="800" spans="1:23" s="7" customFormat="1" x14ac:dyDescent="0.2">
      <c r="A800" s="1" t="s">
        <v>689</v>
      </c>
      <c r="B800" s="1" t="s">
        <v>803</v>
      </c>
      <c r="C800" s="1">
        <v>0</v>
      </c>
      <c r="D800" s="1">
        <v>0</v>
      </c>
      <c r="E800" s="1">
        <v>0</v>
      </c>
      <c r="F800" s="1">
        <v>0</v>
      </c>
      <c r="G800" s="1">
        <v>0</v>
      </c>
      <c r="H800" s="1">
        <v>0</v>
      </c>
      <c r="I800" s="1">
        <v>0</v>
      </c>
      <c r="J800" s="1">
        <v>0</v>
      </c>
      <c r="K800" s="1">
        <v>0</v>
      </c>
      <c r="L800" s="1">
        <v>0</v>
      </c>
      <c r="M800" s="1">
        <v>0</v>
      </c>
      <c r="N800" s="1">
        <v>0</v>
      </c>
      <c r="O800" s="1">
        <v>0</v>
      </c>
      <c r="P800" s="1">
        <v>0</v>
      </c>
      <c r="Q800" s="1">
        <v>0</v>
      </c>
      <c r="R800" s="1">
        <v>0</v>
      </c>
      <c r="S800" s="1">
        <v>29</v>
      </c>
      <c r="T800" s="1">
        <v>32</v>
      </c>
      <c r="U800" s="1">
        <v>34</v>
      </c>
      <c r="V800" s="1">
        <v>49</v>
      </c>
    </row>
    <row r="801" spans="1:22" s="7" customFormat="1" x14ac:dyDescent="0.2">
      <c r="A801" s="1" t="s">
        <v>689</v>
      </c>
      <c r="B801" s="1" t="s">
        <v>804</v>
      </c>
      <c r="C801" s="1">
        <v>0</v>
      </c>
      <c r="D801" s="1">
        <v>0</v>
      </c>
      <c r="E801" s="1">
        <v>0</v>
      </c>
      <c r="F801" s="1">
        <v>0</v>
      </c>
      <c r="G801" s="1">
        <v>0</v>
      </c>
      <c r="H801" s="1">
        <v>0</v>
      </c>
      <c r="I801" s="1">
        <v>0</v>
      </c>
      <c r="J801" s="1">
        <v>0</v>
      </c>
      <c r="K801" s="1">
        <v>0</v>
      </c>
      <c r="L801" s="1">
        <v>0</v>
      </c>
      <c r="M801" s="1">
        <v>0</v>
      </c>
      <c r="N801" s="1">
        <v>0</v>
      </c>
      <c r="O801" s="1">
        <v>0</v>
      </c>
      <c r="P801" s="1">
        <v>0</v>
      </c>
      <c r="Q801" s="1">
        <v>0</v>
      </c>
      <c r="R801" s="1">
        <v>0</v>
      </c>
      <c r="S801" s="1">
        <v>39</v>
      </c>
      <c r="T801" s="1">
        <v>2</v>
      </c>
      <c r="U801" s="1">
        <v>95</v>
      </c>
      <c r="V801" s="1">
        <v>142</v>
      </c>
    </row>
    <row r="802" spans="1:22" s="7" customFormat="1" x14ac:dyDescent="0.2">
      <c r="A802" s="1" t="s">
        <v>689</v>
      </c>
      <c r="B802" s="1" t="s">
        <v>805</v>
      </c>
      <c r="C802" s="1"/>
      <c r="D802" s="1"/>
      <c r="E802" s="1"/>
      <c r="F802" s="1"/>
      <c r="G802" s="1"/>
      <c r="H802" s="1"/>
      <c r="I802" s="1"/>
      <c r="J802" s="1"/>
      <c r="K802" s="1"/>
      <c r="L802" s="1"/>
      <c r="M802" s="1"/>
      <c r="N802" s="1"/>
      <c r="O802" s="1"/>
      <c r="P802" s="1"/>
      <c r="Q802" s="1"/>
      <c r="R802" s="1">
        <v>1299</v>
      </c>
      <c r="S802" s="1">
        <v>0</v>
      </c>
      <c r="T802" s="1">
        <v>39</v>
      </c>
      <c r="U802" s="1">
        <v>75</v>
      </c>
      <c r="V802" s="1">
        <f>65+9</f>
        <v>74</v>
      </c>
    </row>
    <row r="803" spans="1:22" s="7" customFormat="1" x14ac:dyDescent="0.2">
      <c r="A803" s="1" t="s">
        <v>689</v>
      </c>
      <c r="B803" s="1" t="s">
        <v>806</v>
      </c>
      <c r="C803" s="1"/>
      <c r="D803" s="1"/>
      <c r="E803" s="1"/>
      <c r="F803" s="1"/>
      <c r="G803" s="1"/>
      <c r="H803" s="1"/>
      <c r="I803" s="1"/>
      <c r="J803" s="1"/>
      <c r="K803" s="1"/>
      <c r="L803" s="1"/>
      <c r="M803" s="1"/>
      <c r="N803" s="1"/>
      <c r="O803" s="1"/>
      <c r="P803" s="1"/>
      <c r="Q803" s="1"/>
      <c r="R803" s="1"/>
      <c r="S803" s="1"/>
      <c r="T803" s="1"/>
      <c r="U803" s="1"/>
      <c r="V803" s="1">
        <v>3</v>
      </c>
    </row>
    <row r="804" spans="1:22" s="7" customFormat="1" x14ac:dyDescent="0.2">
      <c r="A804" s="1" t="s">
        <v>689</v>
      </c>
      <c r="B804" s="1" t="s">
        <v>807</v>
      </c>
      <c r="C804" s="1">
        <v>798</v>
      </c>
      <c r="D804" s="1">
        <v>788</v>
      </c>
      <c r="E804" s="1">
        <v>844</v>
      </c>
      <c r="F804" s="1">
        <v>791</v>
      </c>
      <c r="G804" s="1">
        <v>534</v>
      </c>
      <c r="H804" s="1">
        <v>343</v>
      </c>
      <c r="I804" s="1">
        <v>396</v>
      </c>
      <c r="J804" s="1">
        <v>503</v>
      </c>
      <c r="K804" s="1">
        <v>487</v>
      </c>
      <c r="L804" s="1">
        <v>487</v>
      </c>
      <c r="M804" s="1">
        <v>532</v>
      </c>
      <c r="N804" s="1">
        <v>375</v>
      </c>
      <c r="O804" s="1">
        <v>316</v>
      </c>
      <c r="P804" s="1">
        <v>277</v>
      </c>
      <c r="Q804" s="1">
        <v>0</v>
      </c>
      <c r="R804" s="1">
        <v>325</v>
      </c>
      <c r="S804" s="1">
        <f>426+287</f>
        <v>713</v>
      </c>
      <c r="T804" s="1">
        <v>62</v>
      </c>
      <c r="U804" s="1">
        <v>562</v>
      </c>
      <c r="V804" s="1">
        <v>36</v>
      </c>
    </row>
    <row r="805" spans="1:22" x14ac:dyDescent="0.2">
      <c r="A805" s="1" t="s">
        <v>689</v>
      </c>
      <c r="B805" s="1" t="s">
        <v>808</v>
      </c>
      <c r="C805" s="1">
        <f t="shared" ref="C805:V805" si="219">SUM(C806:C820)</f>
        <v>6028</v>
      </c>
      <c r="D805" s="1">
        <f t="shared" si="219"/>
        <v>5188</v>
      </c>
      <c r="E805" s="1">
        <f t="shared" si="219"/>
        <v>5697</v>
      </c>
      <c r="F805" s="1">
        <f t="shared" si="219"/>
        <v>5446</v>
      </c>
      <c r="G805" s="1">
        <f t="shared" si="219"/>
        <v>5632</v>
      </c>
      <c r="H805" s="1">
        <f t="shared" si="219"/>
        <v>4085</v>
      </c>
      <c r="I805" s="1">
        <f t="shared" si="219"/>
        <v>3579</v>
      </c>
      <c r="J805" s="1">
        <f t="shared" si="219"/>
        <v>3100</v>
      </c>
      <c r="K805" s="1">
        <f t="shared" si="219"/>
        <v>3373</v>
      </c>
      <c r="L805" s="1">
        <f t="shared" si="219"/>
        <v>3709</v>
      </c>
      <c r="M805" s="1">
        <f t="shared" si="219"/>
        <v>3528</v>
      </c>
      <c r="N805" s="1">
        <f t="shared" si="219"/>
        <v>2695</v>
      </c>
      <c r="O805" s="1">
        <f t="shared" si="219"/>
        <v>3621</v>
      </c>
      <c r="P805" s="1">
        <f t="shared" si="219"/>
        <v>3948</v>
      </c>
      <c r="Q805" s="1">
        <f t="shared" si="219"/>
        <v>3978</v>
      </c>
      <c r="R805" s="1">
        <f t="shared" si="219"/>
        <v>2233</v>
      </c>
      <c r="S805" s="1">
        <f t="shared" si="219"/>
        <v>3716</v>
      </c>
      <c r="T805" s="1">
        <f t="shared" si="219"/>
        <v>3188</v>
      </c>
      <c r="U805" s="1">
        <f t="shared" si="219"/>
        <v>2714</v>
      </c>
      <c r="V805" s="1">
        <f t="shared" si="219"/>
        <v>2796</v>
      </c>
    </row>
    <row r="806" spans="1:22" x14ac:dyDescent="0.2">
      <c r="A806" s="1" t="s">
        <v>689</v>
      </c>
      <c r="B806" s="1" t="s">
        <v>809</v>
      </c>
      <c r="C806" s="1">
        <v>5461</v>
      </c>
      <c r="D806" s="1">
        <v>4768</v>
      </c>
      <c r="E806" s="1">
        <v>4704</v>
      </c>
      <c r="F806" s="1">
        <v>4106</v>
      </c>
      <c r="G806" s="1">
        <v>4832</v>
      </c>
      <c r="H806" s="1">
        <v>2520</v>
      </c>
      <c r="I806" s="1">
        <v>1991</v>
      </c>
      <c r="J806" s="1">
        <v>1828</v>
      </c>
      <c r="K806" s="1">
        <v>1903</v>
      </c>
      <c r="L806" s="1">
        <v>2310</v>
      </c>
      <c r="M806" s="1">
        <v>2227</v>
      </c>
      <c r="N806" s="1">
        <v>1741</v>
      </c>
      <c r="O806" s="1">
        <v>2154</v>
      </c>
      <c r="P806" s="1">
        <v>2395</v>
      </c>
      <c r="Q806" s="1">
        <v>2496</v>
      </c>
      <c r="R806" s="1">
        <f>3284-2509</f>
        <v>775</v>
      </c>
      <c r="S806" s="1">
        <v>739</v>
      </c>
      <c r="T806" s="1">
        <v>445</v>
      </c>
      <c r="U806" s="1">
        <v>351</v>
      </c>
      <c r="V806" s="1">
        <v>258</v>
      </c>
    </row>
    <row r="807" spans="1:22" x14ac:dyDescent="0.2">
      <c r="A807" s="1" t="s">
        <v>689</v>
      </c>
      <c r="B807" s="1" t="s">
        <v>810</v>
      </c>
      <c r="V807" s="1">
        <v>128</v>
      </c>
    </row>
    <row r="808" spans="1:22" x14ac:dyDescent="0.2">
      <c r="A808" s="1" t="s">
        <v>689</v>
      </c>
      <c r="B808" s="1" t="s">
        <v>811</v>
      </c>
      <c r="R808" s="1">
        <v>0</v>
      </c>
      <c r="S808" s="1">
        <v>75</v>
      </c>
      <c r="T808" s="1">
        <v>0</v>
      </c>
      <c r="U808" s="1">
        <v>0</v>
      </c>
      <c r="V808" s="1">
        <v>0</v>
      </c>
    </row>
    <row r="809" spans="1:22" x14ac:dyDescent="0.2">
      <c r="A809" s="1" t="s">
        <v>689</v>
      </c>
      <c r="B809" s="1" t="s">
        <v>812</v>
      </c>
      <c r="I809" s="1">
        <v>278</v>
      </c>
      <c r="J809" s="1">
        <v>214</v>
      </c>
      <c r="K809" s="1">
        <v>149</v>
      </c>
      <c r="L809" s="1">
        <v>111</v>
      </c>
      <c r="M809" s="1">
        <v>78</v>
      </c>
      <c r="N809" s="1">
        <v>39</v>
      </c>
      <c r="O809" s="1">
        <v>63</v>
      </c>
      <c r="P809" s="1">
        <v>17</v>
      </c>
      <c r="Q809" s="1">
        <v>15</v>
      </c>
      <c r="R809" s="1">
        <v>13</v>
      </c>
      <c r="S809" s="1">
        <v>1</v>
      </c>
      <c r="T809" s="1">
        <v>0</v>
      </c>
      <c r="U809" s="1">
        <v>5</v>
      </c>
      <c r="V809" s="1">
        <v>6</v>
      </c>
    </row>
    <row r="810" spans="1:22" x14ac:dyDescent="0.2">
      <c r="A810" s="1" t="s">
        <v>689</v>
      </c>
      <c r="B810" s="1" t="s">
        <v>813</v>
      </c>
      <c r="R810" s="1">
        <v>0</v>
      </c>
      <c r="S810" s="1">
        <v>0</v>
      </c>
      <c r="T810" s="1">
        <v>0</v>
      </c>
      <c r="U810" s="1">
        <v>5</v>
      </c>
      <c r="V810" s="1">
        <v>0</v>
      </c>
    </row>
    <row r="811" spans="1:22" x14ac:dyDescent="0.2">
      <c r="A811" s="1" t="s">
        <v>689</v>
      </c>
      <c r="B811" s="1" t="s">
        <v>814</v>
      </c>
      <c r="V811" s="1">
        <v>1</v>
      </c>
    </row>
    <row r="812" spans="1:22" x14ac:dyDescent="0.2">
      <c r="A812" s="1" t="s">
        <v>689</v>
      </c>
      <c r="B812" s="1" t="s">
        <v>815</v>
      </c>
      <c r="V812" s="1">
        <v>1</v>
      </c>
    </row>
    <row r="813" spans="1:22" x14ac:dyDescent="0.2">
      <c r="A813" s="1" t="s">
        <v>689</v>
      </c>
      <c r="B813" s="1" t="s">
        <v>816</v>
      </c>
      <c r="C813" s="1">
        <v>567</v>
      </c>
      <c r="D813" s="1">
        <v>420</v>
      </c>
      <c r="E813" s="1">
        <v>993</v>
      </c>
      <c r="F813" s="1">
        <v>1340</v>
      </c>
      <c r="G813" s="1">
        <v>800</v>
      </c>
      <c r="H813" s="1">
        <v>1565</v>
      </c>
      <c r="I813" s="1">
        <v>1310</v>
      </c>
      <c r="J813" s="1">
        <v>1058</v>
      </c>
      <c r="K813" s="1">
        <v>1321</v>
      </c>
      <c r="L813" s="1">
        <v>1288</v>
      </c>
      <c r="M813" s="1">
        <v>1223</v>
      </c>
      <c r="N813" s="1">
        <v>915</v>
      </c>
      <c r="O813" s="1">
        <v>1404</v>
      </c>
      <c r="P813" s="1">
        <v>1536</v>
      </c>
      <c r="Q813" s="1">
        <v>1467</v>
      </c>
      <c r="R813" s="1">
        <v>1445</v>
      </c>
      <c r="S813" s="1">
        <v>1016</v>
      </c>
      <c r="T813" s="1">
        <v>1071</v>
      </c>
      <c r="U813" s="1">
        <v>793</v>
      </c>
      <c r="V813" s="1">
        <v>759</v>
      </c>
    </row>
    <row r="814" spans="1:22" x14ac:dyDescent="0.2">
      <c r="A814" s="1" t="s">
        <v>689</v>
      </c>
      <c r="B814" s="1" t="s">
        <v>817</v>
      </c>
      <c r="V814" s="1">
        <v>104</v>
      </c>
    </row>
    <row r="815" spans="1:22" x14ac:dyDescent="0.2">
      <c r="A815" s="1" t="s">
        <v>689</v>
      </c>
      <c r="B815" s="1" t="s">
        <v>818</v>
      </c>
      <c r="R815" s="1">
        <v>0</v>
      </c>
      <c r="S815" s="1">
        <v>1820</v>
      </c>
      <c r="T815" s="1">
        <v>1554</v>
      </c>
      <c r="U815" s="1">
        <v>1461</v>
      </c>
      <c r="V815" s="1">
        <v>1438</v>
      </c>
    </row>
    <row r="816" spans="1:22" x14ac:dyDescent="0.2">
      <c r="A816" s="1" t="s">
        <v>689</v>
      </c>
      <c r="B816" s="1" t="s">
        <v>819</v>
      </c>
      <c r="R816" s="1">
        <v>0</v>
      </c>
      <c r="S816" s="1">
        <v>18</v>
      </c>
      <c r="T816" s="1">
        <v>31</v>
      </c>
      <c r="U816" s="1">
        <v>57</v>
      </c>
      <c r="V816" s="1">
        <v>36</v>
      </c>
    </row>
    <row r="817" spans="1:22" x14ac:dyDescent="0.2">
      <c r="A817" s="1" t="s">
        <v>689</v>
      </c>
      <c r="B817" s="1" t="s">
        <v>820</v>
      </c>
      <c r="R817" s="1">
        <v>0</v>
      </c>
      <c r="S817" s="1">
        <v>0</v>
      </c>
      <c r="T817" s="1">
        <v>5</v>
      </c>
      <c r="U817" s="1">
        <v>0</v>
      </c>
    </row>
    <row r="818" spans="1:22" x14ac:dyDescent="0.2">
      <c r="A818" s="1" t="s">
        <v>689</v>
      </c>
      <c r="B818" s="1" t="s">
        <v>821</v>
      </c>
      <c r="R818" s="1">
        <v>0</v>
      </c>
      <c r="S818" s="1">
        <v>0</v>
      </c>
      <c r="T818" s="1">
        <v>1</v>
      </c>
      <c r="U818" s="1">
        <v>1</v>
      </c>
      <c r="V818" s="1">
        <v>2</v>
      </c>
    </row>
    <row r="819" spans="1:22" x14ac:dyDescent="0.2">
      <c r="A819" s="1" t="s">
        <v>689</v>
      </c>
      <c r="B819" s="1" t="s">
        <v>822</v>
      </c>
      <c r="R819" s="1">
        <v>0</v>
      </c>
      <c r="S819" s="1">
        <v>38</v>
      </c>
      <c r="T819" s="1">
        <v>62</v>
      </c>
      <c r="U819" s="1">
        <v>26</v>
      </c>
      <c r="V819" s="1">
        <v>29</v>
      </c>
    </row>
    <row r="820" spans="1:22" x14ac:dyDescent="0.2">
      <c r="A820" s="1" t="s">
        <v>689</v>
      </c>
      <c r="B820" s="1" t="s">
        <v>823</v>
      </c>
      <c r="R820" s="1">
        <v>0</v>
      </c>
      <c r="S820" s="1">
        <v>9</v>
      </c>
      <c r="T820" s="1">
        <v>19</v>
      </c>
      <c r="U820" s="1">
        <v>15</v>
      </c>
      <c r="V820" s="1">
        <v>34</v>
      </c>
    </row>
    <row r="821" spans="1:22" x14ac:dyDescent="0.2">
      <c r="A821" s="1" t="s">
        <v>689</v>
      </c>
      <c r="B821" s="1" t="s">
        <v>824</v>
      </c>
      <c r="C821" s="1">
        <v>471</v>
      </c>
      <c r="D821" s="1">
        <v>504</v>
      </c>
      <c r="E821" s="1">
        <v>551</v>
      </c>
      <c r="F821" s="1">
        <v>519</v>
      </c>
      <c r="G821" s="1">
        <v>504</v>
      </c>
      <c r="H821" s="1">
        <v>438</v>
      </c>
      <c r="I821" s="1">
        <v>372</v>
      </c>
      <c r="J821" s="1">
        <v>416</v>
      </c>
      <c r="K821" s="1">
        <v>450</v>
      </c>
      <c r="L821" s="1">
        <v>536</v>
      </c>
      <c r="M821" s="1">
        <v>683</v>
      </c>
      <c r="N821" s="1">
        <v>844</v>
      </c>
      <c r="O821" s="1">
        <v>503</v>
      </c>
      <c r="P821" s="1">
        <v>548</v>
      </c>
      <c r="Q821" s="1">
        <v>493</v>
      </c>
      <c r="R821" s="1">
        <v>571</v>
      </c>
      <c r="S821" s="1">
        <v>498</v>
      </c>
      <c r="T821" s="1">
        <v>468</v>
      </c>
      <c r="U821" s="1">
        <v>557</v>
      </c>
      <c r="V821" s="1">
        <v>681</v>
      </c>
    </row>
    <row r="822" spans="1:22" x14ac:dyDescent="0.2">
      <c r="A822" s="1" t="s">
        <v>689</v>
      </c>
      <c r="B822" s="1" t="s">
        <v>825</v>
      </c>
      <c r="C822" s="1">
        <v>2101</v>
      </c>
      <c r="D822" s="1">
        <v>3211</v>
      </c>
      <c r="E822" s="1">
        <v>3650</v>
      </c>
      <c r="F822" s="1">
        <v>3135</v>
      </c>
      <c r="G822" s="1">
        <v>3800</v>
      </c>
      <c r="H822" s="1">
        <v>3397</v>
      </c>
      <c r="I822" s="1">
        <v>3338</v>
      </c>
      <c r="J822" s="1">
        <v>3031</v>
      </c>
      <c r="K822" s="1">
        <v>3358</v>
      </c>
      <c r="L822" s="1">
        <v>4012</v>
      </c>
      <c r="M822" s="1">
        <v>4593</v>
      </c>
      <c r="N822" s="1">
        <v>5496</v>
      </c>
      <c r="O822" s="1">
        <v>5326</v>
      </c>
      <c r="P822" s="1">
        <v>4732</v>
      </c>
      <c r="Q822" s="1">
        <v>4421</v>
      </c>
      <c r="R822" s="1">
        <v>4379</v>
      </c>
      <c r="S822" s="1">
        <v>4265</v>
      </c>
      <c r="T822" s="1">
        <v>3356</v>
      </c>
      <c r="U822" s="1">
        <v>3314</v>
      </c>
      <c r="V822" s="1">
        <v>3620</v>
      </c>
    </row>
    <row r="823" spans="1:22" x14ac:dyDescent="0.2">
      <c r="A823" s="1" t="s">
        <v>689</v>
      </c>
      <c r="B823" s="1" t="s">
        <v>826</v>
      </c>
      <c r="C823" s="1">
        <v>142</v>
      </c>
      <c r="D823" s="1">
        <v>209</v>
      </c>
      <c r="E823" s="1">
        <v>143</v>
      </c>
      <c r="F823" s="1">
        <v>128</v>
      </c>
      <c r="G823" s="1">
        <v>155</v>
      </c>
      <c r="H823" s="1">
        <v>147</v>
      </c>
      <c r="I823" s="1">
        <v>149</v>
      </c>
      <c r="J823" s="1">
        <v>189</v>
      </c>
      <c r="K823" s="1">
        <v>101</v>
      </c>
      <c r="L823" s="1">
        <v>148</v>
      </c>
      <c r="M823" s="1">
        <v>267</v>
      </c>
      <c r="N823" s="1">
        <v>298</v>
      </c>
      <c r="O823" s="1">
        <v>28</v>
      </c>
      <c r="P823" s="1">
        <v>10</v>
      </c>
      <c r="Q823" s="1">
        <v>11</v>
      </c>
      <c r="R823" s="1">
        <v>3</v>
      </c>
      <c r="S823" s="1">
        <v>2</v>
      </c>
      <c r="T823" s="1">
        <v>1</v>
      </c>
      <c r="U823" s="1">
        <v>1</v>
      </c>
      <c r="V823" s="1">
        <v>2</v>
      </c>
    </row>
    <row r="824" spans="1:22" x14ac:dyDescent="0.2">
      <c r="A824" s="1" t="s">
        <v>689</v>
      </c>
      <c r="B824" s="1" t="s">
        <v>827</v>
      </c>
      <c r="D824" s="1">
        <v>0</v>
      </c>
      <c r="E824" s="1">
        <v>0</v>
      </c>
      <c r="F824" s="1">
        <v>0</v>
      </c>
      <c r="G824" s="1">
        <v>0</v>
      </c>
      <c r="H824" s="1">
        <v>0</v>
      </c>
      <c r="I824" s="1">
        <v>0</v>
      </c>
      <c r="J824" s="1">
        <v>0</v>
      </c>
      <c r="K824" s="1">
        <v>0</v>
      </c>
      <c r="L824" s="1">
        <v>0</v>
      </c>
      <c r="M824" s="1">
        <v>0</v>
      </c>
      <c r="N824" s="1">
        <v>0</v>
      </c>
      <c r="O824" s="1">
        <v>0</v>
      </c>
      <c r="P824" s="1">
        <v>0</v>
      </c>
      <c r="Q824" s="1">
        <v>0</v>
      </c>
      <c r="R824" s="1">
        <v>0</v>
      </c>
      <c r="S824" s="1">
        <v>0</v>
      </c>
      <c r="T824" s="1">
        <v>5</v>
      </c>
      <c r="U824" s="1">
        <v>6</v>
      </c>
      <c r="V824" s="1">
        <v>4</v>
      </c>
    </row>
    <row r="825" spans="1:22" x14ac:dyDescent="0.2">
      <c r="A825" s="1" t="s">
        <v>689</v>
      </c>
      <c r="B825" s="1" t="s">
        <v>828</v>
      </c>
      <c r="C825" s="1">
        <v>40</v>
      </c>
      <c r="D825" s="1">
        <v>101</v>
      </c>
      <c r="E825" s="1">
        <v>123</v>
      </c>
      <c r="F825" s="1">
        <v>67</v>
      </c>
      <c r="G825" s="1">
        <v>111</v>
      </c>
      <c r="H825" s="1">
        <v>48</v>
      </c>
      <c r="I825" s="1">
        <v>96</v>
      </c>
      <c r="J825" s="1">
        <v>61</v>
      </c>
      <c r="K825" s="1">
        <v>68</v>
      </c>
      <c r="L825" s="1">
        <v>134</v>
      </c>
      <c r="M825" s="1">
        <v>19</v>
      </c>
      <c r="N825" s="1">
        <v>27</v>
      </c>
      <c r="O825" s="1">
        <v>30</v>
      </c>
      <c r="P825" s="1">
        <v>10</v>
      </c>
      <c r="Q825" s="1">
        <v>12</v>
      </c>
      <c r="R825" s="1">
        <v>34</v>
      </c>
      <c r="S825" s="1">
        <v>24</v>
      </c>
      <c r="T825" s="1">
        <v>234</v>
      </c>
      <c r="U825" s="1">
        <v>71</v>
      </c>
      <c r="V825" s="1">
        <v>48</v>
      </c>
    </row>
    <row r="826" spans="1:22" x14ac:dyDescent="0.2">
      <c r="A826" s="1" t="s">
        <v>689</v>
      </c>
      <c r="B826" s="1" t="s">
        <v>829</v>
      </c>
      <c r="D826" s="1">
        <v>0</v>
      </c>
      <c r="E826" s="1">
        <v>0</v>
      </c>
      <c r="F826" s="1">
        <v>0</v>
      </c>
      <c r="G826" s="1">
        <v>0</v>
      </c>
      <c r="H826" s="1">
        <v>0</v>
      </c>
      <c r="I826" s="1">
        <v>0</v>
      </c>
      <c r="J826" s="1">
        <v>0</v>
      </c>
      <c r="K826" s="1">
        <v>0</v>
      </c>
      <c r="L826" s="1">
        <v>0</v>
      </c>
      <c r="M826" s="1">
        <v>0</v>
      </c>
      <c r="N826" s="1">
        <v>0</v>
      </c>
      <c r="O826" s="1">
        <v>0</v>
      </c>
      <c r="P826" s="1">
        <v>0</v>
      </c>
      <c r="Q826" s="1">
        <v>0</v>
      </c>
      <c r="R826" s="1">
        <v>3</v>
      </c>
      <c r="S826" s="1">
        <v>1</v>
      </c>
      <c r="T826" s="1">
        <v>0</v>
      </c>
      <c r="U826" s="1">
        <v>1</v>
      </c>
      <c r="V826" s="1">
        <v>0</v>
      </c>
    </row>
    <row r="827" spans="1:22" x14ac:dyDescent="0.2">
      <c r="A827" s="1" t="s">
        <v>689</v>
      </c>
      <c r="B827" s="1" t="s">
        <v>830</v>
      </c>
      <c r="D827" s="1">
        <v>0</v>
      </c>
      <c r="E827" s="1">
        <v>0</v>
      </c>
      <c r="F827" s="1">
        <v>0</v>
      </c>
      <c r="G827" s="1">
        <v>0</v>
      </c>
      <c r="H827" s="1">
        <v>0</v>
      </c>
      <c r="I827" s="1">
        <v>0</v>
      </c>
      <c r="J827" s="1">
        <v>0</v>
      </c>
      <c r="K827" s="1">
        <v>0</v>
      </c>
      <c r="L827" s="1">
        <v>0</v>
      </c>
      <c r="M827" s="1">
        <v>0</v>
      </c>
      <c r="N827" s="1">
        <v>0</v>
      </c>
      <c r="O827" s="1">
        <v>0</v>
      </c>
      <c r="P827" s="1">
        <v>0</v>
      </c>
      <c r="Q827" s="1">
        <v>0</v>
      </c>
      <c r="R827" s="1">
        <v>0</v>
      </c>
      <c r="S827" s="1">
        <v>1</v>
      </c>
      <c r="T827" s="1">
        <v>0</v>
      </c>
      <c r="U827" s="1">
        <v>14</v>
      </c>
      <c r="V827" s="1">
        <v>0</v>
      </c>
    </row>
    <row r="828" spans="1:22" x14ac:dyDescent="0.2">
      <c r="A828" s="1" t="s">
        <v>689</v>
      </c>
      <c r="B828" s="1" t="s">
        <v>831</v>
      </c>
      <c r="D828" s="1">
        <v>0</v>
      </c>
      <c r="E828" s="1">
        <v>0</v>
      </c>
      <c r="F828" s="1">
        <v>0</v>
      </c>
      <c r="G828" s="1">
        <v>0</v>
      </c>
      <c r="H828" s="1">
        <v>0</v>
      </c>
      <c r="I828" s="1">
        <v>0</v>
      </c>
      <c r="J828" s="1">
        <v>0</v>
      </c>
      <c r="K828" s="1">
        <v>0</v>
      </c>
      <c r="L828" s="1">
        <v>0</v>
      </c>
      <c r="M828" s="1">
        <v>0</v>
      </c>
      <c r="N828" s="1">
        <v>0</v>
      </c>
      <c r="O828" s="1">
        <v>0</v>
      </c>
      <c r="P828" s="1">
        <v>0</v>
      </c>
      <c r="Q828" s="1">
        <v>0</v>
      </c>
      <c r="R828" s="1">
        <v>0</v>
      </c>
      <c r="S828" s="1">
        <v>0</v>
      </c>
      <c r="T828" s="1">
        <v>0</v>
      </c>
      <c r="U828" s="1">
        <v>1</v>
      </c>
      <c r="V828" s="1">
        <v>0</v>
      </c>
    </row>
    <row r="829" spans="1:22" x14ac:dyDescent="0.2">
      <c r="A829" s="1" t="s">
        <v>689</v>
      </c>
      <c r="B829" s="1" t="s">
        <v>832</v>
      </c>
      <c r="C829" s="1">
        <v>31</v>
      </c>
      <c r="D829" s="1">
        <v>11</v>
      </c>
      <c r="E829" s="1">
        <v>30</v>
      </c>
      <c r="F829" s="1">
        <v>28</v>
      </c>
      <c r="G829" s="1">
        <v>614</v>
      </c>
      <c r="H829" s="1">
        <v>57</v>
      </c>
      <c r="I829" s="1">
        <v>26</v>
      </c>
      <c r="J829" s="1">
        <v>42</v>
      </c>
      <c r="K829" s="1">
        <v>34</v>
      </c>
      <c r="L829" s="1">
        <v>22</v>
      </c>
      <c r="M829" s="1">
        <v>88</v>
      </c>
      <c r="N829" s="1">
        <v>61</v>
      </c>
      <c r="O829" s="1">
        <v>14</v>
      </c>
      <c r="P829" s="1">
        <v>5</v>
      </c>
      <c r="Q829" s="1">
        <v>6</v>
      </c>
      <c r="R829" s="1">
        <v>6</v>
      </c>
      <c r="S829" s="1">
        <v>2</v>
      </c>
      <c r="T829" s="1">
        <v>0</v>
      </c>
      <c r="U829" s="1">
        <v>0</v>
      </c>
      <c r="V829" s="1">
        <v>1</v>
      </c>
    </row>
    <row r="830" spans="1:22" x14ac:dyDescent="0.2">
      <c r="A830" s="1" t="s">
        <v>689</v>
      </c>
      <c r="B830" s="1" t="s">
        <v>833</v>
      </c>
      <c r="D830" s="1">
        <v>0</v>
      </c>
      <c r="E830" s="1">
        <v>0</v>
      </c>
      <c r="F830" s="1">
        <v>0</v>
      </c>
      <c r="G830" s="1">
        <v>0</v>
      </c>
      <c r="H830" s="1">
        <v>0</v>
      </c>
      <c r="I830" s="1">
        <v>0</v>
      </c>
      <c r="J830" s="1">
        <v>0</v>
      </c>
      <c r="K830" s="1">
        <v>0</v>
      </c>
      <c r="L830" s="1">
        <v>0</v>
      </c>
      <c r="M830" s="1">
        <v>0</v>
      </c>
      <c r="N830" s="1">
        <v>0</v>
      </c>
      <c r="O830" s="1">
        <v>0</v>
      </c>
      <c r="P830" s="1">
        <v>0</v>
      </c>
      <c r="Q830" s="1">
        <v>0</v>
      </c>
      <c r="R830" s="1">
        <v>0</v>
      </c>
      <c r="S830" s="1">
        <v>0</v>
      </c>
      <c r="T830" s="1">
        <v>0</v>
      </c>
      <c r="U830" s="1">
        <v>4</v>
      </c>
      <c r="V830" s="1">
        <v>1</v>
      </c>
    </row>
    <row r="831" spans="1:22" x14ac:dyDescent="0.2">
      <c r="A831" s="1" t="s">
        <v>689</v>
      </c>
      <c r="B831" s="1" t="s">
        <v>834</v>
      </c>
      <c r="C831" s="1">
        <v>3847</v>
      </c>
      <c r="D831" s="1">
        <v>4559</v>
      </c>
      <c r="E831" s="1">
        <v>5276</v>
      </c>
      <c r="F831" s="1">
        <v>5352</v>
      </c>
      <c r="G831" s="1">
        <v>5224</v>
      </c>
      <c r="H831" s="1">
        <v>5307</v>
      </c>
      <c r="I831" s="1">
        <v>5362</v>
      </c>
      <c r="J831" s="1">
        <v>5247</v>
      </c>
      <c r="K831" s="1">
        <v>7072</v>
      </c>
      <c r="L831" s="1">
        <v>9066</v>
      </c>
      <c r="M831" s="1">
        <v>10286</v>
      </c>
      <c r="N831" s="1">
        <v>10395</v>
      </c>
      <c r="O831" s="1">
        <v>5576</v>
      </c>
      <c r="P831" s="1">
        <v>5257</v>
      </c>
      <c r="Q831" s="1">
        <v>4612</v>
      </c>
      <c r="R831" s="1">
        <v>4121</v>
      </c>
      <c r="S831" s="1">
        <v>3887</v>
      </c>
      <c r="T831" s="1">
        <v>1874</v>
      </c>
      <c r="U831" s="1">
        <v>0</v>
      </c>
      <c r="V831" s="1">
        <v>0</v>
      </c>
    </row>
    <row r="832" spans="1:22" x14ac:dyDescent="0.2">
      <c r="A832" s="1" t="s">
        <v>689</v>
      </c>
      <c r="B832" s="1" t="s">
        <v>835</v>
      </c>
      <c r="D832" s="1">
        <v>0</v>
      </c>
      <c r="E832" s="1">
        <v>0</v>
      </c>
      <c r="F832" s="1">
        <v>0</v>
      </c>
      <c r="G832" s="1">
        <v>0</v>
      </c>
      <c r="H832" s="1">
        <v>0</v>
      </c>
      <c r="I832" s="1">
        <v>0</v>
      </c>
      <c r="J832" s="1">
        <v>0</v>
      </c>
      <c r="K832" s="1">
        <v>0</v>
      </c>
      <c r="L832" s="1">
        <v>0</v>
      </c>
      <c r="M832" s="1">
        <v>0</v>
      </c>
      <c r="N832" s="1">
        <v>0</v>
      </c>
      <c r="O832" s="1">
        <v>0</v>
      </c>
      <c r="P832" s="1">
        <v>0</v>
      </c>
      <c r="Q832" s="1">
        <v>0</v>
      </c>
      <c r="R832" s="1">
        <v>0</v>
      </c>
      <c r="S832" s="1">
        <v>0</v>
      </c>
      <c r="T832" s="1">
        <v>882</v>
      </c>
      <c r="U832" s="1">
        <v>1814</v>
      </c>
      <c r="V832" s="1">
        <v>1644</v>
      </c>
    </row>
    <row r="833" spans="1:22" x14ac:dyDescent="0.2">
      <c r="A833" s="1" t="s">
        <v>689</v>
      </c>
      <c r="B833" s="1" t="s">
        <v>836</v>
      </c>
      <c r="V833" s="1">
        <v>440</v>
      </c>
    </row>
    <row r="834" spans="1:22" x14ac:dyDescent="0.2">
      <c r="A834" s="1" t="s">
        <v>689</v>
      </c>
      <c r="B834" s="1" t="s">
        <v>837</v>
      </c>
      <c r="V834" s="1">
        <v>48</v>
      </c>
    </row>
    <row r="835" spans="1:22" x14ac:dyDescent="0.2">
      <c r="A835" s="1" t="s">
        <v>689</v>
      </c>
      <c r="B835" s="1" t="s">
        <v>838</v>
      </c>
      <c r="V835" s="1">
        <v>420</v>
      </c>
    </row>
    <row r="836" spans="1:22" x14ac:dyDescent="0.2">
      <c r="A836" s="1" t="s">
        <v>689</v>
      </c>
      <c r="B836" s="1" t="s">
        <v>839</v>
      </c>
      <c r="V836" s="1">
        <v>95</v>
      </c>
    </row>
    <row r="837" spans="1:22" x14ac:dyDescent="0.2">
      <c r="A837" s="1" t="s">
        <v>689</v>
      </c>
      <c r="B837" s="1" t="s">
        <v>840</v>
      </c>
      <c r="D837" s="1">
        <v>0</v>
      </c>
      <c r="E837" s="1">
        <v>0</v>
      </c>
      <c r="F837" s="1">
        <v>0</v>
      </c>
      <c r="G837" s="1">
        <v>0</v>
      </c>
      <c r="H837" s="1">
        <v>0</v>
      </c>
      <c r="I837" s="1">
        <v>0</v>
      </c>
      <c r="J837" s="1">
        <v>0</v>
      </c>
      <c r="K837" s="1">
        <v>0</v>
      </c>
      <c r="L837" s="1">
        <v>0</v>
      </c>
      <c r="M837" s="1">
        <v>0</v>
      </c>
      <c r="N837" s="1">
        <v>0</v>
      </c>
      <c r="O837" s="1">
        <v>0</v>
      </c>
      <c r="P837" s="1">
        <v>0</v>
      </c>
      <c r="Q837" s="1">
        <v>0</v>
      </c>
      <c r="R837" s="1">
        <v>0</v>
      </c>
      <c r="S837" s="1">
        <v>0</v>
      </c>
      <c r="T837" s="1">
        <v>518</v>
      </c>
      <c r="U837" s="1">
        <v>887</v>
      </c>
      <c r="V837" s="1">
        <v>0</v>
      </c>
    </row>
    <row r="838" spans="1:22" x14ac:dyDescent="0.2">
      <c r="A838" s="1" t="s">
        <v>689</v>
      </c>
      <c r="B838" s="1" t="s">
        <v>841</v>
      </c>
      <c r="D838" s="1">
        <v>0</v>
      </c>
      <c r="E838" s="1">
        <v>0</v>
      </c>
      <c r="F838" s="1">
        <v>0</v>
      </c>
      <c r="G838" s="1">
        <v>0</v>
      </c>
      <c r="H838" s="1">
        <v>0</v>
      </c>
      <c r="I838" s="1">
        <v>0</v>
      </c>
      <c r="J838" s="1">
        <v>0</v>
      </c>
      <c r="K838" s="1">
        <v>0</v>
      </c>
      <c r="L838" s="1">
        <v>0</v>
      </c>
      <c r="M838" s="1">
        <v>0</v>
      </c>
      <c r="N838" s="1">
        <v>0</v>
      </c>
      <c r="O838" s="1">
        <v>0</v>
      </c>
      <c r="P838" s="1">
        <v>0</v>
      </c>
      <c r="Q838" s="1">
        <v>0</v>
      </c>
      <c r="R838" s="1">
        <v>0</v>
      </c>
      <c r="S838" s="1">
        <v>0</v>
      </c>
      <c r="T838" s="1">
        <v>608</v>
      </c>
      <c r="U838" s="1">
        <v>1395</v>
      </c>
      <c r="V838" s="1">
        <v>1651</v>
      </c>
    </row>
    <row r="839" spans="1:22" x14ac:dyDescent="0.2">
      <c r="A839" s="1" t="s">
        <v>689</v>
      </c>
      <c r="B839" s="1" t="s">
        <v>842</v>
      </c>
      <c r="C839" s="1">
        <v>3298</v>
      </c>
      <c r="D839" s="1">
        <v>2499</v>
      </c>
      <c r="E839" s="1">
        <v>2617</v>
      </c>
      <c r="F839" s="1">
        <v>2376</v>
      </c>
      <c r="G839" s="1">
        <v>2000</v>
      </c>
      <c r="H839" s="1">
        <v>583</v>
      </c>
      <c r="I839" s="1">
        <v>493</v>
      </c>
      <c r="J839" s="1">
        <v>431</v>
      </c>
      <c r="K839" s="1">
        <v>464</v>
      </c>
      <c r="L839" s="1">
        <v>381</v>
      </c>
      <c r="M839" s="1">
        <v>546</v>
      </c>
      <c r="N839" s="1">
        <v>364</v>
      </c>
      <c r="O839" s="1">
        <v>211</v>
      </c>
      <c r="P839" s="1">
        <v>197</v>
      </c>
      <c r="Q839" s="1">
        <v>177</v>
      </c>
      <c r="R839" s="1">
        <v>149</v>
      </c>
      <c r="S839" s="1">
        <f>SUM(S840:S846)</f>
        <v>149</v>
      </c>
      <c r="T839" s="1">
        <f>SUM(T840:T846)</f>
        <v>175</v>
      </c>
      <c r="U839" s="1">
        <v>182</v>
      </c>
      <c r="V839" s="1">
        <f>SUM(V840:V846)</f>
        <v>153</v>
      </c>
    </row>
    <row r="840" spans="1:22" x14ac:dyDescent="0.2">
      <c r="A840" s="1" t="s">
        <v>689</v>
      </c>
      <c r="B840" s="1" t="s">
        <v>843</v>
      </c>
      <c r="S840" s="1">
        <v>4</v>
      </c>
      <c r="T840" s="1">
        <v>22</v>
      </c>
      <c r="U840" s="1" t="s">
        <v>149</v>
      </c>
      <c r="V840" s="1">
        <v>3</v>
      </c>
    </row>
    <row r="841" spans="1:22" x14ac:dyDescent="0.2">
      <c r="A841" s="1" t="s">
        <v>689</v>
      </c>
      <c r="B841" s="1" t="s">
        <v>844</v>
      </c>
      <c r="S841" s="1">
        <v>12</v>
      </c>
      <c r="T841" s="1">
        <v>14</v>
      </c>
      <c r="U841" s="1" t="s">
        <v>149</v>
      </c>
      <c r="V841" s="1">
        <v>4</v>
      </c>
    </row>
    <row r="842" spans="1:22" x14ac:dyDescent="0.2">
      <c r="A842" s="1" t="s">
        <v>689</v>
      </c>
      <c r="B842" s="1" t="s">
        <v>845</v>
      </c>
      <c r="S842" s="1">
        <v>7</v>
      </c>
      <c r="T842" s="1">
        <v>2</v>
      </c>
      <c r="U842" s="1" t="s">
        <v>149</v>
      </c>
    </row>
    <row r="843" spans="1:22" x14ac:dyDescent="0.2">
      <c r="A843" s="1" t="s">
        <v>689</v>
      </c>
      <c r="B843" s="1" t="s">
        <v>846</v>
      </c>
      <c r="S843" s="1">
        <v>24</v>
      </c>
      <c r="T843" s="1">
        <v>29</v>
      </c>
      <c r="U843" s="1" t="s">
        <v>149</v>
      </c>
      <c r="V843" s="1">
        <v>21</v>
      </c>
    </row>
    <row r="844" spans="1:22" x14ac:dyDescent="0.2">
      <c r="A844" s="1" t="s">
        <v>689</v>
      </c>
      <c r="B844" s="1" t="s">
        <v>847</v>
      </c>
      <c r="S844" s="1">
        <v>94</v>
      </c>
      <c r="T844" s="1">
        <v>95</v>
      </c>
      <c r="U844" s="1" t="s">
        <v>149</v>
      </c>
      <c r="V844" s="1">
        <v>96</v>
      </c>
    </row>
    <row r="845" spans="1:22" x14ac:dyDescent="0.2">
      <c r="A845" s="1" t="s">
        <v>689</v>
      </c>
      <c r="B845" s="1" t="s">
        <v>848</v>
      </c>
      <c r="S845" s="1">
        <v>8</v>
      </c>
      <c r="T845" s="1">
        <v>12</v>
      </c>
      <c r="U845" s="1" t="s">
        <v>149</v>
      </c>
      <c r="V845" s="1">
        <v>29</v>
      </c>
    </row>
    <row r="846" spans="1:22" x14ac:dyDescent="0.2">
      <c r="A846" s="1" t="s">
        <v>689</v>
      </c>
      <c r="B846" s="1" t="s">
        <v>849</v>
      </c>
      <c r="S846" s="1">
        <v>0</v>
      </c>
      <c r="T846" s="1">
        <v>1</v>
      </c>
      <c r="U846" s="1" t="s">
        <v>149</v>
      </c>
      <c r="V846" s="1">
        <v>0</v>
      </c>
    </row>
    <row r="847" spans="1:22" x14ac:dyDescent="0.2">
      <c r="A847" s="1" t="s">
        <v>689</v>
      </c>
      <c r="B847" s="1" t="s">
        <v>850</v>
      </c>
      <c r="R847" s="1">
        <v>378</v>
      </c>
      <c r="S847" s="1">
        <v>406</v>
      </c>
      <c r="T847" s="1">
        <v>407</v>
      </c>
      <c r="U847" s="1">
        <f>338+60</f>
        <v>398</v>
      </c>
      <c r="V847" s="1">
        <v>537</v>
      </c>
    </row>
    <row r="848" spans="1:22" x14ac:dyDescent="0.2">
      <c r="A848" s="1" t="s">
        <v>689</v>
      </c>
      <c r="B848" s="1" t="s">
        <v>851</v>
      </c>
      <c r="R848" s="1">
        <v>2703</v>
      </c>
      <c r="S848" s="1">
        <f>1511+127</f>
        <v>1638</v>
      </c>
      <c r="T848" s="1">
        <f>395+55</f>
        <v>450</v>
      </c>
      <c r="U848" s="1">
        <v>398</v>
      </c>
      <c r="V848" s="1">
        <v>0</v>
      </c>
    </row>
    <row r="849" spans="1:22" x14ac:dyDescent="0.2">
      <c r="A849" s="1" t="s">
        <v>689</v>
      </c>
      <c r="B849" s="1" t="s">
        <v>852</v>
      </c>
      <c r="R849" s="1">
        <v>1705</v>
      </c>
      <c r="S849" s="1">
        <v>1151</v>
      </c>
      <c r="T849" s="1">
        <v>1312</v>
      </c>
      <c r="U849" s="1">
        <v>1103</v>
      </c>
      <c r="V849" s="1">
        <v>0</v>
      </c>
    </row>
    <row r="850" spans="1:22" x14ac:dyDescent="0.2">
      <c r="A850" s="1" t="s">
        <v>689</v>
      </c>
      <c r="B850" s="1" t="s">
        <v>853</v>
      </c>
      <c r="S850" s="1">
        <v>337</v>
      </c>
      <c r="T850" s="1">
        <v>448</v>
      </c>
      <c r="U850" s="1">
        <v>357</v>
      </c>
      <c r="V850" s="1">
        <v>0</v>
      </c>
    </row>
    <row r="851" spans="1:22" x14ac:dyDescent="0.2">
      <c r="A851" s="1" t="s">
        <v>689</v>
      </c>
      <c r="B851" s="1" t="s">
        <v>854</v>
      </c>
      <c r="R851" s="1">
        <v>927</v>
      </c>
      <c r="S851" s="1">
        <v>920</v>
      </c>
      <c r="T851" s="1">
        <v>1300</v>
      </c>
      <c r="U851" s="1">
        <v>1073</v>
      </c>
      <c r="V851" s="1">
        <v>0</v>
      </c>
    </row>
    <row r="852" spans="1:22" x14ac:dyDescent="0.2">
      <c r="A852" s="1" t="s">
        <v>689</v>
      </c>
      <c r="B852" s="1" t="s">
        <v>855</v>
      </c>
      <c r="T852" s="1">
        <v>22</v>
      </c>
      <c r="U852" s="1">
        <v>5</v>
      </c>
      <c r="V852" s="1">
        <v>0</v>
      </c>
    </row>
    <row r="853" spans="1:22" x14ac:dyDescent="0.2">
      <c r="A853" s="1" t="s">
        <v>689</v>
      </c>
      <c r="B853" s="1" t="s">
        <v>856</v>
      </c>
      <c r="R853" s="1">
        <v>807</v>
      </c>
      <c r="S853" s="1">
        <v>634</v>
      </c>
      <c r="T853" s="1">
        <v>912</v>
      </c>
      <c r="U853" s="1">
        <v>703</v>
      </c>
      <c r="V853" s="1">
        <v>848</v>
      </c>
    </row>
    <row r="854" spans="1:22" x14ac:dyDescent="0.2">
      <c r="A854" s="1" t="s">
        <v>689</v>
      </c>
      <c r="B854" s="1" t="s">
        <v>857</v>
      </c>
      <c r="S854" s="1">
        <v>4</v>
      </c>
      <c r="T854" s="1">
        <v>13</v>
      </c>
      <c r="U854" s="1">
        <v>6</v>
      </c>
      <c r="V854" s="1">
        <v>0</v>
      </c>
    </row>
    <row r="855" spans="1:22" x14ac:dyDescent="0.2">
      <c r="A855" s="1" t="s">
        <v>689</v>
      </c>
      <c r="B855" s="1" t="s">
        <v>858</v>
      </c>
      <c r="S855" s="1">
        <v>11</v>
      </c>
      <c r="T855" s="1">
        <v>14</v>
      </c>
      <c r="U855" s="1">
        <v>11</v>
      </c>
      <c r="V855" s="1">
        <v>0</v>
      </c>
    </row>
    <row r="856" spans="1:22" x14ac:dyDescent="0.2">
      <c r="A856" s="1" t="s">
        <v>689</v>
      </c>
      <c r="B856" s="1" t="s">
        <v>859</v>
      </c>
      <c r="S856" s="1">
        <f>69+44</f>
        <v>113</v>
      </c>
      <c r="T856" s="1">
        <f>131+139</f>
        <v>270</v>
      </c>
      <c r="U856" s="1">
        <v>155</v>
      </c>
      <c r="V856" s="1">
        <v>0</v>
      </c>
    </row>
    <row r="857" spans="1:22" x14ac:dyDescent="0.2">
      <c r="A857" s="1" t="s">
        <v>689</v>
      </c>
      <c r="B857" s="1" t="s">
        <v>860</v>
      </c>
      <c r="R857" s="1">
        <v>120</v>
      </c>
      <c r="S857" s="1">
        <v>79</v>
      </c>
      <c r="T857" s="1">
        <v>141</v>
      </c>
      <c r="U857" s="1">
        <v>86</v>
      </c>
      <c r="V857" s="1">
        <v>0</v>
      </c>
    </row>
    <row r="858" spans="1:22" x14ac:dyDescent="0.2">
      <c r="A858" s="1" t="s">
        <v>689</v>
      </c>
      <c r="B858" s="1" t="s">
        <v>861</v>
      </c>
      <c r="S858" s="1">
        <v>52</v>
      </c>
      <c r="T858" s="1">
        <v>112</v>
      </c>
      <c r="U858" s="1">
        <v>104</v>
      </c>
      <c r="V858" s="1">
        <v>4</v>
      </c>
    </row>
    <row r="859" spans="1:22" x14ac:dyDescent="0.2">
      <c r="A859" s="1" t="s">
        <v>689</v>
      </c>
      <c r="B859" s="1" t="s">
        <v>862</v>
      </c>
      <c r="R859" s="1">
        <v>233</v>
      </c>
      <c r="S859" s="1">
        <v>152</v>
      </c>
      <c r="T859" s="1">
        <v>245</v>
      </c>
      <c r="U859" s="1">
        <v>206</v>
      </c>
      <c r="V859" s="1">
        <v>0</v>
      </c>
    </row>
    <row r="860" spans="1:22" x14ac:dyDescent="0.2">
      <c r="A860" s="1" t="s">
        <v>689</v>
      </c>
      <c r="B860" s="1" t="s">
        <v>863</v>
      </c>
      <c r="S860" s="1">
        <v>374</v>
      </c>
      <c r="T860" s="1">
        <v>546</v>
      </c>
      <c r="U860" s="1">
        <v>405</v>
      </c>
      <c r="V860" s="1">
        <v>0</v>
      </c>
    </row>
    <row r="861" spans="1:22" x14ac:dyDescent="0.2">
      <c r="A861" s="1" t="s">
        <v>689</v>
      </c>
      <c r="B861" s="1" t="s">
        <v>864</v>
      </c>
      <c r="T861" s="1">
        <v>73</v>
      </c>
      <c r="U861" s="1">
        <v>39</v>
      </c>
      <c r="V861" s="1">
        <v>0</v>
      </c>
    </row>
    <row r="862" spans="1:22" x14ac:dyDescent="0.2">
      <c r="A862" s="1" t="s">
        <v>689</v>
      </c>
      <c r="B862" s="1" t="s">
        <v>865</v>
      </c>
      <c r="T862" s="1">
        <v>11</v>
      </c>
      <c r="U862" s="1">
        <v>12</v>
      </c>
      <c r="V862" s="1">
        <v>0</v>
      </c>
    </row>
    <row r="863" spans="1:22" x14ac:dyDescent="0.2">
      <c r="A863" s="1" t="s">
        <v>689</v>
      </c>
      <c r="B863" s="1" t="s">
        <v>866</v>
      </c>
      <c r="R863" s="1">
        <v>570</v>
      </c>
      <c r="S863" s="1">
        <v>589</v>
      </c>
      <c r="T863" s="1">
        <v>841</v>
      </c>
      <c r="U863" s="1">
        <f>91+919</f>
        <v>1010</v>
      </c>
      <c r="V863" s="1">
        <v>1096</v>
      </c>
    </row>
    <row r="864" spans="1:22" x14ac:dyDescent="0.2">
      <c r="A864" s="1" t="s">
        <v>689</v>
      </c>
      <c r="B864" s="1" t="s">
        <v>867</v>
      </c>
      <c r="U864" s="1">
        <f>114+133</f>
        <v>247</v>
      </c>
      <c r="V864" s="1">
        <v>767</v>
      </c>
    </row>
    <row r="865" spans="1:22" x14ac:dyDescent="0.2">
      <c r="A865" s="1" t="s">
        <v>689</v>
      </c>
      <c r="B865" s="1" t="s">
        <v>868</v>
      </c>
      <c r="U865" s="1">
        <v>38</v>
      </c>
      <c r="V865" s="1">
        <v>280</v>
      </c>
    </row>
    <row r="866" spans="1:22" x14ac:dyDescent="0.2">
      <c r="A866" s="1" t="s">
        <v>689</v>
      </c>
      <c r="B866" s="1" t="s">
        <v>869</v>
      </c>
      <c r="U866" s="1">
        <v>236</v>
      </c>
      <c r="V866" s="1">
        <v>2966</v>
      </c>
    </row>
    <row r="867" spans="1:22" x14ac:dyDescent="0.2">
      <c r="A867" s="1" t="s">
        <v>689</v>
      </c>
      <c r="B867" s="1" t="s">
        <v>870</v>
      </c>
      <c r="U867" s="1">
        <v>62</v>
      </c>
      <c r="V867" s="1">
        <v>366</v>
      </c>
    </row>
    <row r="868" spans="1:22" x14ac:dyDescent="0.2">
      <c r="A868" s="1" t="s">
        <v>689</v>
      </c>
      <c r="B868" s="1" t="s">
        <v>871</v>
      </c>
      <c r="R868" s="1">
        <v>2893</v>
      </c>
      <c r="U868" s="1">
        <f>251+1799</f>
        <v>2050</v>
      </c>
      <c r="V868" s="1">
        <v>3175</v>
      </c>
    </row>
    <row r="869" spans="1:22" x14ac:dyDescent="0.2">
      <c r="A869" s="1" t="s">
        <v>689</v>
      </c>
      <c r="B869" s="1" t="s">
        <v>872</v>
      </c>
      <c r="U869" s="1">
        <v>5</v>
      </c>
      <c r="V869" s="1">
        <v>24</v>
      </c>
    </row>
    <row r="870" spans="1:22" x14ac:dyDescent="0.2">
      <c r="A870" s="1" t="s">
        <v>689</v>
      </c>
      <c r="B870" s="1" t="s">
        <v>873</v>
      </c>
      <c r="U870" s="1">
        <v>10</v>
      </c>
      <c r="V870" s="1">
        <v>238</v>
      </c>
    </row>
    <row r="871" spans="1:22" x14ac:dyDescent="0.2">
      <c r="A871" s="1" t="s">
        <v>689</v>
      </c>
      <c r="B871" s="1" t="s">
        <v>874</v>
      </c>
      <c r="U871" s="1">
        <v>14</v>
      </c>
      <c r="V871" s="1">
        <v>81</v>
      </c>
    </row>
    <row r="872" spans="1:22" x14ac:dyDescent="0.2">
      <c r="A872" s="1" t="s">
        <v>689</v>
      </c>
      <c r="B872" s="1" t="s">
        <v>875</v>
      </c>
      <c r="U872" s="1">
        <v>4</v>
      </c>
      <c r="V872" s="1">
        <v>11</v>
      </c>
    </row>
    <row r="873" spans="1:22" x14ac:dyDescent="0.2">
      <c r="A873" s="1" t="s">
        <v>689</v>
      </c>
      <c r="B873" s="1" t="s">
        <v>876</v>
      </c>
      <c r="U873" s="1">
        <v>1</v>
      </c>
      <c r="V873" s="1">
        <v>13</v>
      </c>
    </row>
    <row r="874" spans="1:22" x14ac:dyDescent="0.2">
      <c r="A874" s="1" t="s">
        <v>689</v>
      </c>
      <c r="B874" s="1" t="s">
        <v>877</v>
      </c>
      <c r="U874" s="1">
        <v>4</v>
      </c>
      <c r="V874" s="1">
        <v>8</v>
      </c>
    </row>
    <row r="875" spans="1:22" x14ac:dyDescent="0.2">
      <c r="A875" s="1" t="s">
        <v>689</v>
      </c>
      <c r="B875" s="1" t="s">
        <v>878</v>
      </c>
      <c r="S875" s="1">
        <v>7</v>
      </c>
      <c r="T875" s="1">
        <f>19+2669</f>
        <v>2688</v>
      </c>
      <c r="U875" s="1">
        <f>5+4</f>
        <v>9</v>
      </c>
      <c r="V875" s="1">
        <v>59</v>
      </c>
    </row>
    <row r="876" spans="1:22" x14ac:dyDescent="0.2">
      <c r="A876" s="1" t="s">
        <v>689</v>
      </c>
      <c r="B876" s="1" t="s">
        <v>879</v>
      </c>
      <c r="R876" s="1">
        <v>42</v>
      </c>
      <c r="S876" s="1">
        <v>39</v>
      </c>
      <c r="V876" s="1">
        <v>0</v>
      </c>
    </row>
    <row r="877" spans="1:22" x14ac:dyDescent="0.2">
      <c r="A877" s="1" t="s">
        <v>689</v>
      </c>
      <c r="B877" s="1" t="s">
        <v>880</v>
      </c>
      <c r="R877" s="1">
        <f>1479+1381+426+12+1</f>
        <v>3299</v>
      </c>
      <c r="S877" s="1">
        <f>2535+357+3+30+3421+749</f>
        <v>7095</v>
      </c>
      <c r="T877" s="1">
        <f>20+409+401+47</f>
        <v>877</v>
      </c>
      <c r="U877" s="1">
        <f>685+25+8+268</f>
        <v>986</v>
      </c>
      <c r="V877" s="1">
        <f>13+61+1031+6+3+504</f>
        <v>1618</v>
      </c>
    </row>
    <row r="878" spans="1:22" x14ac:dyDescent="0.2">
      <c r="A878" s="1" t="s">
        <v>689</v>
      </c>
      <c r="B878" s="1" t="s">
        <v>881</v>
      </c>
      <c r="R878" s="1">
        <v>206</v>
      </c>
      <c r="S878" s="1">
        <v>851</v>
      </c>
      <c r="T878" s="1">
        <v>258</v>
      </c>
      <c r="U878" s="1">
        <v>244</v>
      </c>
      <c r="V878" s="1">
        <v>2</v>
      </c>
    </row>
    <row r="879" spans="1:22" x14ac:dyDescent="0.2">
      <c r="A879" s="1" t="s">
        <v>689</v>
      </c>
      <c r="B879" s="1" t="s">
        <v>882</v>
      </c>
      <c r="T879" s="1">
        <v>35740</v>
      </c>
      <c r="U879" s="1">
        <v>24089</v>
      </c>
      <c r="V879" s="1">
        <v>2209</v>
      </c>
    </row>
    <row r="880" spans="1:22" x14ac:dyDescent="0.2">
      <c r="A880" s="1" t="s">
        <v>689</v>
      </c>
      <c r="B880" s="1" t="s">
        <v>883</v>
      </c>
      <c r="R880" s="1">
        <v>7580</v>
      </c>
      <c r="S880" s="1">
        <v>4625</v>
      </c>
      <c r="T880" s="1">
        <v>5026</v>
      </c>
      <c r="U880" s="1">
        <v>6596</v>
      </c>
      <c r="V880" s="1">
        <v>305</v>
      </c>
    </row>
    <row r="881" spans="1:22" x14ac:dyDescent="0.2">
      <c r="A881" s="1" t="s">
        <v>689</v>
      </c>
      <c r="B881" s="1" t="s">
        <v>884</v>
      </c>
      <c r="S881" s="1">
        <v>5935</v>
      </c>
      <c r="T881" s="1">
        <v>4136</v>
      </c>
      <c r="U881" s="1">
        <v>4290</v>
      </c>
      <c r="V881" s="1">
        <v>55</v>
      </c>
    </row>
    <row r="882" spans="1:22" x14ac:dyDescent="0.2">
      <c r="A882" s="1" t="s">
        <v>689</v>
      </c>
      <c r="B882" s="1" t="s">
        <v>885</v>
      </c>
      <c r="R882" s="1">
        <v>2801</v>
      </c>
      <c r="S882" s="1">
        <v>1512</v>
      </c>
      <c r="T882" s="1">
        <v>1348</v>
      </c>
      <c r="U882" s="1">
        <v>1628</v>
      </c>
      <c r="V882" s="1">
        <v>30</v>
      </c>
    </row>
    <row r="883" spans="1:22" x14ac:dyDescent="0.2">
      <c r="A883" s="1" t="s">
        <v>689</v>
      </c>
      <c r="B883" s="1" t="s">
        <v>886</v>
      </c>
      <c r="R883" s="1">
        <v>5382</v>
      </c>
      <c r="S883" s="1">
        <v>5153</v>
      </c>
      <c r="T883" s="1">
        <v>5136</v>
      </c>
      <c r="U883" s="1">
        <v>3790</v>
      </c>
      <c r="V883" s="1">
        <v>243</v>
      </c>
    </row>
    <row r="884" spans="1:22" x14ac:dyDescent="0.2">
      <c r="A884" s="1" t="s">
        <v>689</v>
      </c>
      <c r="B884" s="1" t="s">
        <v>887</v>
      </c>
      <c r="R884" s="1">
        <v>945</v>
      </c>
      <c r="S884" s="1">
        <v>943</v>
      </c>
      <c r="T884" s="1">
        <v>841</v>
      </c>
      <c r="U884" s="1">
        <v>637</v>
      </c>
      <c r="V884" s="1">
        <v>1841</v>
      </c>
    </row>
    <row r="885" spans="1:22" x14ac:dyDescent="0.2">
      <c r="A885" s="1" t="s">
        <v>689</v>
      </c>
      <c r="B885" s="1" t="s">
        <v>888</v>
      </c>
      <c r="R885" s="1">
        <f>7404+41462</f>
        <v>48866</v>
      </c>
      <c r="S885" s="1">
        <v>48294</v>
      </c>
      <c r="T885" s="1">
        <v>16617</v>
      </c>
      <c r="U885" s="1">
        <v>16110</v>
      </c>
      <c r="V885" s="1">
        <v>0</v>
      </c>
    </row>
    <row r="886" spans="1:22" x14ac:dyDescent="0.2">
      <c r="A886" s="1" t="s">
        <v>689</v>
      </c>
      <c r="B886" s="1" t="s">
        <v>889</v>
      </c>
      <c r="S886" s="1">
        <v>106</v>
      </c>
      <c r="T886" s="1">
        <v>53</v>
      </c>
      <c r="U886" s="1">
        <v>43</v>
      </c>
      <c r="V886" s="1">
        <v>1</v>
      </c>
    </row>
    <row r="887" spans="1:22" x14ac:dyDescent="0.2">
      <c r="A887" s="1" t="s">
        <v>689</v>
      </c>
      <c r="B887" s="1" t="s">
        <v>890</v>
      </c>
      <c r="R887" s="1">
        <v>14</v>
      </c>
      <c r="S887" s="1">
        <v>108</v>
      </c>
      <c r="U887" s="1">
        <v>1</v>
      </c>
      <c r="V887" s="1">
        <v>0</v>
      </c>
    </row>
    <row r="888" spans="1:22" x14ac:dyDescent="0.2">
      <c r="A888" s="1" t="s">
        <v>689</v>
      </c>
      <c r="B888" s="1" t="s">
        <v>891</v>
      </c>
      <c r="U888" s="1">
        <v>29</v>
      </c>
      <c r="V888" s="1">
        <v>0</v>
      </c>
    </row>
    <row r="889" spans="1:22" x14ac:dyDescent="0.2">
      <c r="A889" s="1" t="s">
        <v>689</v>
      </c>
      <c r="B889" s="1" t="s">
        <v>892</v>
      </c>
      <c r="U889" s="1">
        <v>1</v>
      </c>
      <c r="V889" s="1">
        <v>1</v>
      </c>
    </row>
    <row r="890" spans="1:22" x14ac:dyDescent="0.2">
      <c r="A890" s="1" t="s">
        <v>689</v>
      </c>
      <c r="B890" s="1" t="s">
        <v>893</v>
      </c>
      <c r="U890" s="1">
        <v>33</v>
      </c>
      <c r="V890" s="1">
        <v>277</v>
      </c>
    </row>
    <row r="891" spans="1:22" x14ac:dyDescent="0.2">
      <c r="A891" s="1" t="s">
        <v>689</v>
      </c>
      <c r="B891" s="1" t="s">
        <v>894</v>
      </c>
      <c r="U891" s="1">
        <v>13</v>
      </c>
      <c r="V891" s="1">
        <v>14</v>
      </c>
    </row>
    <row r="892" spans="1:22" x14ac:dyDescent="0.2">
      <c r="A892" s="1" t="s">
        <v>689</v>
      </c>
      <c r="B892" s="1" t="s">
        <v>895</v>
      </c>
      <c r="U892" s="1">
        <v>15</v>
      </c>
      <c r="V892" s="1">
        <v>140</v>
      </c>
    </row>
    <row r="893" spans="1:22" x14ac:dyDescent="0.2">
      <c r="A893" s="1" t="s">
        <v>689</v>
      </c>
      <c r="B893" s="1" t="s">
        <v>896</v>
      </c>
      <c r="U893" s="1">
        <v>1732</v>
      </c>
      <c r="V893" s="1">
        <v>7353</v>
      </c>
    </row>
    <row r="894" spans="1:22" x14ac:dyDescent="0.2">
      <c r="A894" s="1" t="s">
        <v>689</v>
      </c>
      <c r="B894" s="1" t="s">
        <v>897</v>
      </c>
      <c r="U894" s="1">
        <v>90</v>
      </c>
      <c r="V894" s="1">
        <v>500</v>
      </c>
    </row>
    <row r="895" spans="1:22" x14ac:dyDescent="0.2">
      <c r="A895" s="1" t="s">
        <v>689</v>
      </c>
      <c r="B895" s="1" t="s">
        <v>898</v>
      </c>
      <c r="U895" s="1">
        <v>14</v>
      </c>
      <c r="V895" s="1">
        <v>150</v>
      </c>
    </row>
    <row r="896" spans="1:22" x14ac:dyDescent="0.2">
      <c r="A896" s="1" t="s">
        <v>689</v>
      </c>
      <c r="B896" s="1" t="s">
        <v>899</v>
      </c>
      <c r="U896" s="1">
        <v>2</v>
      </c>
      <c r="V896" s="1">
        <v>732</v>
      </c>
    </row>
    <row r="897" spans="1:22" x14ac:dyDescent="0.2">
      <c r="A897" s="1" t="s">
        <v>689</v>
      </c>
      <c r="B897" s="1" t="s">
        <v>900</v>
      </c>
      <c r="U897" s="1">
        <v>7</v>
      </c>
      <c r="V897" s="1">
        <v>11</v>
      </c>
    </row>
    <row r="898" spans="1:22" x14ac:dyDescent="0.2">
      <c r="A898" s="1" t="s">
        <v>689</v>
      </c>
      <c r="B898" s="1" t="s">
        <v>901</v>
      </c>
      <c r="U898" s="1">
        <v>1129</v>
      </c>
      <c r="V898" s="1">
        <v>11080</v>
      </c>
    </row>
    <row r="899" spans="1:22" x14ac:dyDescent="0.2">
      <c r="A899" s="1" t="s">
        <v>689</v>
      </c>
      <c r="B899" s="1" t="s">
        <v>902</v>
      </c>
      <c r="U899" s="1">
        <v>792</v>
      </c>
      <c r="V899" s="1">
        <v>4343</v>
      </c>
    </row>
    <row r="900" spans="1:22" x14ac:dyDescent="0.2">
      <c r="A900" s="1" t="s">
        <v>689</v>
      </c>
      <c r="B900" s="1" t="s">
        <v>903</v>
      </c>
      <c r="U900" s="1">
        <v>9227</v>
      </c>
      <c r="V900" s="1">
        <v>61957</v>
      </c>
    </row>
    <row r="901" spans="1:22" x14ac:dyDescent="0.2">
      <c r="A901" s="1" t="s">
        <v>689</v>
      </c>
      <c r="B901" s="1" t="s">
        <v>904</v>
      </c>
      <c r="U901" s="1">
        <v>0</v>
      </c>
      <c r="V901" s="1">
        <v>31</v>
      </c>
    </row>
    <row r="902" spans="1:22" x14ac:dyDescent="0.2">
      <c r="A902" s="1" t="s">
        <v>689</v>
      </c>
      <c r="B902" s="1" t="s">
        <v>905</v>
      </c>
      <c r="U902" s="1">
        <v>0</v>
      </c>
      <c r="V902" s="1">
        <v>1</v>
      </c>
    </row>
    <row r="903" spans="1:22" x14ac:dyDescent="0.2">
      <c r="A903" s="1" t="s">
        <v>689</v>
      </c>
      <c r="B903" s="1" t="s">
        <v>906</v>
      </c>
      <c r="U903" s="1">
        <v>0</v>
      </c>
      <c r="V903" s="1">
        <v>1</v>
      </c>
    </row>
    <row r="904" spans="1:22" x14ac:dyDescent="0.2">
      <c r="A904" s="1" t="s">
        <v>689</v>
      </c>
      <c r="B904" s="1" t="s">
        <v>907</v>
      </c>
      <c r="R904" s="1">
        <f>74+6601</f>
        <v>6675</v>
      </c>
      <c r="S904" s="1">
        <f>4156+586</f>
        <v>4742</v>
      </c>
      <c r="T904" s="1">
        <v>243</v>
      </c>
      <c r="U904" s="1">
        <v>935</v>
      </c>
      <c r="V904" s="1">
        <f>66+1161+4+3+265</f>
        <v>1499</v>
      </c>
    </row>
    <row r="905" spans="1:22" x14ac:dyDescent="0.2">
      <c r="A905" s="1" t="s">
        <v>689</v>
      </c>
      <c r="B905" s="1" t="s">
        <v>908</v>
      </c>
      <c r="S905" s="1">
        <v>135</v>
      </c>
      <c r="T905" s="1">
        <v>19</v>
      </c>
      <c r="U905" s="1">
        <v>28</v>
      </c>
      <c r="V905" s="1">
        <v>9</v>
      </c>
    </row>
    <row r="906" spans="1:22" x14ac:dyDescent="0.2">
      <c r="A906" s="1" t="s">
        <v>689</v>
      </c>
      <c r="B906" s="1" t="s">
        <v>909</v>
      </c>
      <c r="R906" s="1">
        <v>41</v>
      </c>
      <c r="S906" s="1">
        <v>47</v>
      </c>
      <c r="T906" s="1">
        <v>41</v>
      </c>
      <c r="U906" s="1">
        <v>44</v>
      </c>
      <c r="V906" s="1">
        <v>36</v>
      </c>
    </row>
    <row r="907" spans="1:22" x14ac:dyDescent="0.2">
      <c r="A907" s="1" t="s">
        <v>689</v>
      </c>
      <c r="B907" s="1" t="s">
        <v>910</v>
      </c>
      <c r="S907" s="1">
        <v>15</v>
      </c>
      <c r="T907" s="1">
        <v>13</v>
      </c>
      <c r="U907" s="1">
        <v>14</v>
      </c>
      <c r="V907" s="1">
        <v>14</v>
      </c>
    </row>
    <row r="908" spans="1:22" x14ac:dyDescent="0.2">
      <c r="A908" s="1" t="s">
        <v>689</v>
      </c>
      <c r="B908" s="1" t="s">
        <v>911</v>
      </c>
      <c r="S908" s="1">
        <v>10</v>
      </c>
      <c r="T908" s="1">
        <v>1</v>
      </c>
      <c r="U908" s="1">
        <v>1</v>
      </c>
    </row>
    <row r="909" spans="1:22" x14ac:dyDescent="0.2">
      <c r="A909" s="1" t="s">
        <v>689</v>
      </c>
      <c r="B909" s="1" t="s">
        <v>912</v>
      </c>
      <c r="R909" s="1">
        <v>164</v>
      </c>
      <c r="S909" s="1">
        <v>47</v>
      </c>
      <c r="T909" s="1">
        <v>63</v>
      </c>
      <c r="U909" s="1">
        <v>92</v>
      </c>
      <c r="V909" s="1">
        <v>31</v>
      </c>
    </row>
    <row r="910" spans="1:22" x14ac:dyDescent="0.2">
      <c r="A910" s="1" t="s">
        <v>689</v>
      </c>
      <c r="B910" s="1" t="s">
        <v>913</v>
      </c>
      <c r="S910" s="1">
        <v>5</v>
      </c>
      <c r="T910" s="1">
        <v>10</v>
      </c>
      <c r="U910" s="1">
        <v>5</v>
      </c>
      <c r="V910" s="1">
        <v>128</v>
      </c>
    </row>
    <row r="911" spans="1:22" x14ac:dyDescent="0.2">
      <c r="A911" s="1" t="s">
        <v>689</v>
      </c>
      <c r="B911" s="1" t="s">
        <v>914</v>
      </c>
      <c r="R911" s="1">
        <v>83</v>
      </c>
      <c r="S911" s="1">
        <v>42</v>
      </c>
      <c r="T911" s="1">
        <v>59</v>
      </c>
      <c r="U911" s="1">
        <v>51</v>
      </c>
      <c r="V911" s="1">
        <v>125</v>
      </c>
    </row>
    <row r="912" spans="1:22" x14ac:dyDescent="0.2">
      <c r="A912" s="1" t="s">
        <v>689</v>
      </c>
      <c r="B912" s="1" t="s">
        <v>915</v>
      </c>
      <c r="U912" s="1">
        <v>0</v>
      </c>
      <c r="V912" s="1">
        <v>53</v>
      </c>
    </row>
    <row r="913" spans="1:22" x14ac:dyDescent="0.2">
      <c r="A913" s="1" t="s">
        <v>689</v>
      </c>
      <c r="B913" s="1" t="s">
        <v>916</v>
      </c>
      <c r="R913" s="1">
        <v>199</v>
      </c>
      <c r="S913" s="1">
        <v>138</v>
      </c>
      <c r="T913" s="1">
        <v>232</v>
      </c>
      <c r="U913" s="1">
        <v>125</v>
      </c>
      <c r="V913" s="1">
        <v>156</v>
      </c>
    </row>
    <row r="914" spans="1:22" x14ac:dyDescent="0.2">
      <c r="A914" s="1" t="s">
        <v>689</v>
      </c>
      <c r="B914" s="1" t="s">
        <v>917</v>
      </c>
      <c r="R914" s="1">
        <v>69</v>
      </c>
      <c r="S914" s="1">
        <v>152</v>
      </c>
      <c r="T914" s="1">
        <v>129</v>
      </c>
      <c r="U914" s="1">
        <v>146</v>
      </c>
      <c r="V914" s="1">
        <v>196</v>
      </c>
    </row>
    <row r="915" spans="1:22" x14ac:dyDescent="0.2">
      <c r="A915" s="1" t="s">
        <v>689</v>
      </c>
      <c r="B915" s="1" t="s">
        <v>918</v>
      </c>
      <c r="R915" s="1">
        <v>68</v>
      </c>
      <c r="S915" s="1">
        <v>73</v>
      </c>
      <c r="T915" s="1">
        <v>87</v>
      </c>
      <c r="U915" s="1">
        <v>87</v>
      </c>
      <c r="V915" s="1">
        <v>107</v>
      </c>
    </row>
    <row r="916" spans="1:22" x14ac:dyDescent="0.2">
      <c r="A916" s="1" t="s">
        <v>689</v>
      </c>
      <c r="B916" s="1" t="s">
        <v>919</v>
      </c>
      <c r="U916" s="1">
        <v>0</v>
      </c>
      <c r="V916" s="1">
        <v>2</v>
      </c>
    </row>
    <row r="917" spans="1:22" x14ac:dyDescent="0.2">
      <c r="A917" s="1" t="s">
        <v>689</v>
      </c>
      <c r="B917" s="1" t="s">
        <v>920</v>
      </c>
      <c r="U917" s="1">
        <v>0</v>
      </c>
      <c r="V917" s="1">
        <v>5</v>
      </c>
    </row>
    <row r="918" spans="1:22" x14ac:dyDescent="0.2">
      <c r="A918" s="1" t="s">
        <v>689</v>
      </c>
      <c r="B918" s="1" t="s">
        <v>921</v>
      </c>
      <c r="R918" s="1">
        <v>28</v>
      </c>
      <c r="S918" s="1">
        <v>3</v>
      </c>
      <c r="T918" s="1">
        <v>0</v>
      </c>
      <c r="U918" s="1">
        <v>53</v>
      </c>
      <c r="V918" s="1">
        <v>273</v>
      </c>
    </row>
    <row r="919" spans="1:22" x14ac:dyDescent="0.2">
      <c r="A919" s="1" t="s">
        <v>689</v>
      </c>
      <c r="B919" s="1" t="s">
        <v>922</v>
      </c>
      <c r="S919" s="1">
        <v>23</v>
      </c>
      <c r="T919" s="1">
        <v>20</v>
      </c>
      <c r="U919" s="1">
        <v>22</v>
      </c>
      <c r="V919" s="1">
        <v>40</v>
      </c>
    </row>
    <row r="920" spans="1:22" x14ac:dyDescent="0.2">
      <c r="A920" s="1" t="s">
        <v>689</v>
      </c>
      <c r="B920" s="1" t="s">
        <v>923</v>
      </c>
      <c r="U920" s="1">
        <v>0</v>
      </c>
      <c r="V920" s="1">
        <v>18</v>
      </c>
    </row>
    <row r="921" spans="1:22" x14ac:dyDescent="0.2">
      <c r="A921" s="1" t="s">
        <v>689</v>
      </c>
      <c r="B921" s="1" t="s">
        <v>924</v>
      </c>
      <c r="U921" s="1">
        <v>0</v>
      </c>
      <c r="V921" s="1">
        <v>2</v>
      </c>
    </row>
    <row r="922" spans="1:22" x14ac:dyDescent="0.2">
      <c r="A922" s="1" t="s">
        <v>689</v>
      </c>
      <c r="B922" s="1" t="s">
        <v>925</v>
      </c>
      <c r="U922" s="1">
        <v>0</v>
      </c>
      <c r="V922" s="1">
        <v>23</v>
      </c>
    </row>
    <row r="923" spans="1:22" x14ac:dyDescent="0.2">
      <c r="A923" s="1" t="s">
        <v>689</v>
      </c>
      <c r="B923" s="1" t="s">
        <v>926</v>
      </c>
      <c r="U923" s="1">
        <v>0</v>
      </c>
      <c r="V923" s="1">
        <v>2</v>
      </c>
    </row>
    <row r="924" spans="1:22" x14ac:dyDescent="0.2">
      <c r="A924" s="1" t="s">
        <v>689</v>
      </c>
      <c r="B924" s="1" t="s">
        <v>927</v>
      </c>
      <c r="S924" s="1">
        <v>8</v>
      </c>
      <c r="T924" s="1">
        <v>43</v>
      </c>
      <c r="U924" s="1">
        <v>46</v>
      </c>
      <c r="V924" s="1">
        <v>5</v>
      </c>
    </row>
    <row r="925" spans="1:22" x14ac:dyDescent="0.2">
      <c r="A925" s="1" t="s">
        <v>689</v>
      </c>
      <c r="B925" s="1" t="s">
        <v>928</v>
      </c>
      <c r="U925" s="1">
        <v>6</v>
      </c>
      <c r="V925" s="1">
        <v>86</v>
      </c>
    </row>
    <row r="926" spans="1:22" x14ac:dyDescent="0.2">
      <c r="A926" s="1" t="s">
        <v>689</v>
      </c>
      <c r="B926" s="1" t="s">
        <v>929</v>
      </c>
      <c r="S926" s="1">
        <v>38</v>
      </c>
      <c r="T926" s="1">
        <v>31</v>
      </c>
      <c r="U926" s="1">
        <v>17</v>
      </c>
      <c r="V926" s="1">
        <v>29</v>
      </c>
    </row>
    <row r="927" spans="1:22" x14ac:dyDescent="0.2">
      <c r="A927" s="1" t="s">
        <v>689</v>
      </c>
      <c r="B927" s="1" t="s">
        <v>930</v>
      </c>
      <c r="R927" s="1">
        <v>320</v>
      </c>
      <c r="S927" s="1">
        <v>75</v>
      </c>
      <c r="T927" s="1">
        <v>164</v>
      </c>
      <c r="U927" s="1">
        <v>97</v>
      </c>
      <c r="V927" s="1">
        <v>24</v>
      </c>
    </row>
    <row r="928" spans="1:22" x14ac:dyDescent="0.2">
      <c r="A928" s="1" t="s">
        <v>689</v>
      </c>
      <c r="B928" s="1" t="s">
        <v>931</v>
      </c>
      <c r="T928" s="1">
        <v>1</v>
      </c>
      <c r="U928" s="1">
        <v>2</v>
      </c>
      <c r="V928" s="1">
        <v>3</v>
      </c>
    </row>
    <row r="929" spans="1:22" x14ac:dyDescent="0.2">
      <c r="A929" s="1" t="s">
        <v>689</v>
      </c>
      <c r="B929" s="1" t="s">
        <v>932</v>
      </c>
      <c r="U929" s="1">
        <v>2</v>
      </c>
      <c r="V929" s="1">
        <v>4</v>
      </c>
    </row>
    <row r="930" spans="1:22" x14ac:dyDescent="0.2">
      <c r="A930" s="1" t="s">
        <v>689</v>
      </c>
      <c r="B930" s="1" t="s">
        <v>933</v>
      </c>
      <c r="R930" s="1">
        <f>178+43+311</f>
        <v>532</v>
      </c>
      <c r="S930" s="1">
        <f>245+120</f>
        <v>365</v>
      </c>
      <c r="T930" s="1">
        <v>17</v>
      </c>
      <c r="U930" s="1">
        <v>12</v>
      </c>
      <c r="V930" s="1">
        <v>4</v>
      </c>
    </row>
    <row r="931" spans="1:22" x14ac:dyDescent="0.2">
      <c r="A931" s="1" t="s">
        <v>689</v>
      </c>
      <c r="B931" s="1" t="s">
        <v>934</v>
      </c>
      <c r="R931" s="1">
        <v>378</v>
      </c>
      <c r="S931" s="1">
        <v>363</v>
      </c>
      <c r="T931" s="1">
        <v>421</v>
      </c>
      <c r="U931" s="1">
        <v>374</v>
      </c>
      <c r="V931" s="1">
        <v>425</v>
      </c>
    </row>
    <row r="932" spans="1:22" x14ac:dyDescent="0.2">
      <c r="A932" s="1" t="s">
        <v>689</v>
      </c>
      <c r="B932" s="1" t="s">
        <v>935</v>
      </c>
      <c r="S932" s="1">
        <v>0</v>
      </c>
      <c r="T932" s="1">
        <v>392</v>
      </c>
      <c r="U932" s="1">
        <v>210</v>
      </c>
      <c r="V932" s="1">
        <v>259</v>
      </c>
    </row>
    <row r="933" spans="1:22" x14ac:dyDescent="0.2">
      <c r="A933" s="1" t="s">
        <v>689</v>
      </c>
      <c r="B933" s="1" t="s">
        <v>936</v>
      </c>
      <c r="R933" s="1">
        <v>7136</v>
      </c>
      <c r="S933" s="1">
        <v>7355</v>
      </c>
      <c r="T933" s="1">
        <v>8261</v>
      </c>
      <c r="U933" s="1">
        <v>8857</v>
      </c>
      <c r="V933" s="1">
        <v>9448</v>
      </c>
    </row>
    <row r="934" spans="1:22" x14ac:dyDescent="0.2">
      <c r="A934" s="1" t="s">
        <v>689</v>
      </c>
      <c r="B934" s="1" t="s">
        <v>937</v>
      </c>
      <c r="R934" s="1">
        <v>1445</v>
      </c>
      <c r="S934" s="1">
        <v>1003</v>
      </c>
      <c r="T934" s="1">
        <v>854</v>
      </c>
      <c r="U934" s="1">
        <v>1010</v>
      </c>
      <c r="V934" s="1">
        <v>1165</v>
      </c>
    </row>
    <row r="935" spans="1:22" x14ac:dyDescent="0.2">
      <c r="A935" s="1" t="s">
        <v>689</v>
      </c>
      <c r="B935" s="1" t="s">
        <v>938</v>
      </c>
      <c r="S935" s="1">
        <v>284</v>
      </c>
      <c r="T935" s="1">
        <v>427</v>
      </c>
      <c r="U935" s="1">
        <v>362</v>
      </c>
      <c r="V935" s="1">
        <v>552</v>
      </c>
    </row>
    <row r="936" spans="1:22" x14ac:dyDescent="0.2">
      <c r="A936" s="1" t="s">
        <v>689</v>
      </c>
      <c r="B936" s="1" t="s">
        <v>939</v>
      </c>
      <c r="R936" s="1">
        <v>1014</v>
      </c>
      <c r="S936" s="1">
        <v>851</v>
      </c>
      <c r="T936" s="1">
        <v>781</v>
      </c>
      <c r="U936" s="1">
        <v>723</v>
      </c>
      <c r="V936" s="1">
        <v>894</v>
      </c>
    </row>
    <row r="937" spans="1:22" x14ac:dyDescent="0.2">
      <c r="A937" s="1" t="s">
        <v>689</v>
      </c>
      <c r="B937" s="1" t="s">
        <v>940</v>
      </c>
      <c r="S937" s="1">
        <v>521</v>
      </c>
      <c r="T937" s="1">
        <v>821</v>
      </c>
      <c r="U937" s="1">
        <v>915</v>
      </c>
      <c r="V937" s="1">
        <v>1540</v>
      </c>
    </row>
    <row r="938" spans="1:22" x14ac:dyDescent="0.2">
      <c r="A938" s="1" t="s">
        <v>689</v>
      </c>
      <c r="B938" s="1" t="s">
        <v>941</v>
      </c>
      <c r="R938" s="1">
        <v>858</v>
      </c>
      <c r="S938" s="1">
        <v>743</v>
      </c>
      <c r="T938" s="1">
        <v>609</v>
      </c>
      <c r="U938" s="1">
        <v>518</v>
      </c>
      <c r="V938" s="1">
        <v>558</v>
      </c>
    </row>
    <row r="939" spans="1:22" x14ac:dyDescent="0.2">
      <c r="A939" s="1" t="s">
        <v>689</v>
      </c>
      <c r="B939" s="1" t="s">
        <v>942</v>
      </c>
      <c r="R939" s="1">
        <v>6</v>
      </c>
      <c r="S939" s="1">
        <v>10</v>
      </c>
      <c r="T939" s="1">
        <v>11</v>
      </c>
      <c r="U939" s="1">
        <v>7</v>
      </c>
      <c r="V939" s="1">
        <v>9</v>
      </c>
    </row>
    <row r="940" spans="1:22" x14ac:dyDescent="0.2">
      <c r="A940" s="1" t="s">
        <v>689</v>
      </c>
      <c r="B940" s="1" t="s">
        <v>943</v>
      </c>
      <c r="R940" s="1">
        <v>76</v>
      </c>
      <c r="S940" s="1">
        <v>82</v>
      </c>
      <c r="T940" s="1">
        <v>114</v>
      </c>
      <c r="U940" s="1">
        <v>40</v>
      </c>
      <c r="V940" s="1">
        <v>33</v>
      </c>
    </row>
    <row r="941" spans="1:22" x14ac:dyDescent="0.2">
      <c r="A941" s="1" t="s">
        <v>689</v>
      </c>
      <c r="B941" s="1" t="s">
        <v>944</v>
      </c>
      <c r="S941" s="1">
        <v>5</v>
      </c>
      <c r="T941" s="1">
        <v>4</v>
      </c>
      <c r="U941" s="1">
        <v>1</v>
      </c>
      <c r="V941" s="1">
        <v>6</v>
      </c>
    </row>
    <row r="942" spans="1:22" x14ac:dyDescent="0.2">
      <c r="A942" s="1" t="s">
        <v>689</v>
      </c>
      <c r="B942" s="1" t="s">
        <v>945</v>
      </c>
      <c r="R942" s="1">
        <v>504</v>
      </c>
      <c r="S942" s="1">
        <v>782</v>
      </c>
      <c r="T942" s="1">
        <v>1020</v>
      </c>
      <c r="U942" s="1">
        <v>987</v>
      </c>
      <c r="V942" s="1">
        <v>1347</v>
      </c>
    </row>
    <row r="943" spans="1:22" x14ac:dyDescent="0.2">
      <c r="A943" s="1" t="s">
        <v>689</v>
      </c>
      <c r="B943" s="1" t="s">
        <v>946</v>
      </c>
      <c r="R943" s="1">
        <v>27</v>
      </c>
      <c r="S943" s="1">
        <v>59</v>
      </c>
      <c r="T943" s="1">
        <v>112</v>
      </c>
      <c r="U943" s="1">
        <v>130</v>
      </c>
      <c r="V943" s="1">
        <v>160</v>
      </c>
    </row>
    <row r="944" spans="1:22" x14ac:dyDescent="0.2">
      <c r="A944" s="1" t="s">
        <v>689</v>
      </c>
      <c r="B944" s="1" t="s">
        <v>947</v>
      </c>
      <c r="R944" s="1">
        <v>248</v>
      </c>
      <c r="S944" s="1">
        <v>305</v>
      </c>
      <c r="T944" s="1">
        <v>437</v>
      </c>
      <c r="U944" s="1">
        <v>395</v>
      </c>
      <c r="V944" s="1">
        <v>457</v>
      </c>
    </row>
    <row r="945" spans="1:22" x14ac:dyDescent="0.2">
      <c r="A945" s="1" t="s">
        <v>689</v>
      </c>
      <c r="B945" s="1" t="s">
        <v>948</v>
      </c>
      <c r="S945" s="1">
        <v>143</v>
      </c>
      <c r="T945" s="1">
        <v>132</v>
      </c>
      <c r="U945" s="1">
        <v>254</v>
      </c>
      <c r="V945" s="1">
        <v>318</v>
      </c>
    </row>
    <row r="946" spans="1:22" x14ac:dyDescent="0.2">
      <c r="A946" s="1" t="s">
        <v>689</v>
      </c>
      <c r="B946" s="1" t="s">
        <v>949</v>
      </c>
      <c r="S946" s="1">
        <v>120</v>
      </c>
      <c r="T946" s="1">
        <v>1</v>
      </c>
      <c r="U946" s="1">
        <v>13</v>
      </c>
      <c r="V946" s="1">
        <v>11</v>
      </c>
    </row>
    <row r="947" spans="1:22" x14ac:dyDescent="0.2">
      <c r="A947" s="1" t="s">
        <v>689</v>
      </c>
      <c r="B947" s="1" t="s">
        <v>950</v>
      </c>
      <c r="T947" s="1">
        <v>12</v>
      </c>
      <c r="U947" s="1">
        <v>3</v>
      </c>
      <c r="V947" s="1">
        <v>6</v>
      </c>
    </row>
    <row r="948" spans="1:22" x14ac:dyDescent="0.2">
      <c r="A948" s="1" t="s">
        <v>689</v>
      </c>
      <c r="B948" s="1" t="s">
        <v>951</v>
      </c>
      <c r="R948" s="1">
        <v>12</v>
      </c>
      <c r="U948" s="1">
        <v>0</v>
      </c>
      <c r="V948" s="1">
        <v>0</v>
      </c>
    </row>
    <row r="949" spans="1:22" x14ac:dyDescent="0.2">
      <c r="A949" s="1" t="s">
        <v>689</v>
      </c>
      <c r="B949" s="1" t="s">
        <v>952</v>
      </c>
      <c r="U949" s="1">
        <v>0</v>
      </c>
      <c r="V949" s="1">
        <v>0</v>
      </c>
    </row>
    <row r="950" spans="1:22" x14ac:dyDescent="0.2">
      <c r="A950" s="1" t="s">
        <v>689</v>
      </c>
      <c r="B950" s="1" t="s">
        <v>953</v>
      </c>
      <c r="R950" s="1">
        <f>202+577+1+419+110</f>
        <v>1309</v>
      </c>
      <c r="S950" s="1">
        <f>224+164+1227+349</f>
        <v>1964</v>
      </c>
      <c r="T950" s="1">
        <f>57+389+3</f>
        <v>449</v>
      </c>
      <c r="U950" s="1">
        <f>40+14</f>
        <v>54</v>
      </c>
      <c r="V950" s="1">
        <f>77+4</f>
        <v>81</v>
      </c>
    </row>
    <row r="951" spans="1:22" x14ac:dyDescent="0.2">
      <c r="A951" s="1" t="s">
        <v>689</v>
      </c>
      <c r="B951" s="1" t="s">
        <v>954</v>
      </c>
      <c r="R951" s="1">
        <v>1</v>
      </c>
      <c r="T951" s="1">
        <v>63</v>
      </c>
      <c r="U951" s="1">
        <v>36</v>
      </c>
      <c r="V951" s="1">
        <v>279</v>
      </c>
    </row>
    <row r="952" spans="1:22" x14ac:dyDescent="0.2">
      <c r="A952" s="1" t="s">
        <v>689</v>
      </c>
      <c r="B952" s="1" t="s">
        <v>955</v>
      </c>
      <c r="R952" s="1">
        <v>368</v>
      </c>
      <c r="S952" s="1">
        <v>287</v>
      </c>
      <c r="T952" s="1">
        <v>281</v>
      </c>
      <c r="U952" s="1">
        <v>242</v>
      </c>
      <c r="V952" s="1">
        <v>222</v>
      </c>
    </row>
    <row r="953" spans="1:22" x14ac:dyDescent="0.2">
      <c r="A953" s="1" t="s">
        <v>689</v>
      </c>
      <c r="B953" s="1" t="s">
        <v>956</v>
      </c>
      <c r="R953" s="1">
        <v>379</v>
      </c>
      <c r="S953" s="1">
        <v>342</v>
      </c>
      <c r="T953" s="1">
        <v>503</v>
      </c>
      <c r="U953" s="1">
        <v>320</v>
      </c>
      <c r="V953" s="1">
        <v>354</v>
      </c>
    </row>
    <row r="954" spans="1:22" x14ac:dyDescent="0.2">
      <c r="A954" s="1" t="s">
        <v>689</v>
      </c>
      <c r="B954" s="1" t="s">
        <v>957</v>
      </c>
      <c r="R954" s="1">
        <v>24</v>
      </c>
      <c r="S954" s="1">
        <v>21</v>
      </c>
      <c r="T954" s="1">
        <v>21</v>
      </c>
      <c r="U954" s="1">
        <v>25</v>
      </c>
      <c r="V954" s="1">
        <v>12</v>
      </c>
    </row>
    <row r="955" spans="1:22" x14ac:dyDescent="0.2">
      <c r="A955" s="1" t="s">
        <v>689</v>
      </c>
      <c r="B955" s="1" t="s">
        <v>958</v>
      </c>
      <c r="S955" s="1">
        <v>238</v>
      </c>
      <c r="T955" s="1">
        <v>207</v>
      </c>
      <c r="U955" s="1">
        <v>229</v>
      </c>
      <c r="V955" s="1">
        <v>234</v>
      </c>
    </row>
    <row r="956" spans="1:22" x14ac:dyDescent="0.2">
      <c r="A956" s="1" t="s">
        <v>689</v>
      </c>
      <c r="B956" s="1" t="s">
        <v>959</v>
      </c>
      <c r="R956" s="1">
        <v>218</v>
      </c>
      <c r="S956" s="1">
        <f>76+7</f>
        <v>83</v>
      </c>
      <c r="T956" s="1">
        <v>420</v>
      </c>
      <c r="U956" s="1">
        <v>1357</v>
      </c>
      <c r="V956" s="1">
        <v>1334</v>
      </c>
    </row>
    <row r="957" spans="1:22" x14ac:dyDescent="0.2">
      <c r="A957" s="1" t="s">
        <v>689</v>
      </c>
      <c r="B957" s="1" t="s">
        <v>960</v>
      </c>
      <c r="S957" s="1">
        <v>7</v>
      </c>
      <c r="T957" s="1">
        <v>15</v>
      </c>
      <c r="U957" s="1">
        <v>5</v>
      </c>
      <c r="V957" s="1">
        <v>7</v>
      </c>
    </row>
    <row r="958" spans="1:22" x14ac:dyDescent="0.2">
      <c r="A958" s="1" t="s">
        <v>689</v>
      </c>
      <c r="B958" s="1" t="s">
        <v>961</v>
      </c>
      <c r="V958" s="1">
        <v>29</v>
      </c>
    </row>
    <row r="959" spans="1:22" x14ac:dyDescent="0.2">
      <c r="A959" s="1" t="s">
        <v>689</v>
      </c>
      <c r="B959" s="1" t="s">
        <v>962</v>
      </c>
      <c r="R959" s="1">
        <v>144</v>
      </c>
      <c r="S959" s="1">
        <v>59</v>
      </c>
      <c r="T959" s="1">
        <v>72</v>
      </c>
      <c r="U959" s="1">
        <v>1478</v>
      </c>
      <c r="V959" s="1">
        <v>2819</v>
      </c>
    </row>
    <row r="960" spans="1:22" x14ac:dyDescent="0.2">
      <c r="A960" s="1" t="s">
        <v>689</v>
      </c>
      <c r="B960" s="1" t="s">
        <v>963</v>
      </c>
      <c r="R960" s="1">
        <f>54+48</f>
        <v>102</v>
      </c>
      <c r="S960" s="1">
        <f>5+219</f>
        <v>224</v>
      </c>
      <c r="T960" s="1">
        <f>134+32</f>
        <v>166</v>
      </c>
      <c r="U960" s="1">
        <v>97</v>
      </c>
      <c r="V960" s="1">
        <v>218</v>
      </c>
    </row>
    <row r="961" spans="1:22" x14ac:dyDescent="0.2">
      <c r="A961" s="1" t="s">
        <v>689</v>
      </c>
      <c r="B961" s="1" t="s">
        <v>964</v>
      </c>
      <c r="R961" s="1">
        <v>370</v>
      </c>
      <c r="S961" s="1">
        <v>351</v>
      </c>
      <c r="T961" s="1">
        <v>339</v>
      </c>
      <c r="U961" s="1">
        <v>362</v>
      </c>
      <c r="V961" s="1">
        <v>376</v>
      </c>
    </row>
    <row r="962" spans="1:22" x14ac:dyDescent="0.2">
      <c r="A962" s="1" t="s">
        <v>689</v>
      </c>
      <c r="B962" s="1" t="s">
        <v>965</v>
      </c>
      <c r="S962" s="1">
        <v>44</v>
      </c>
      <c r="T962" s="1">
        <v>88</v>
      </c>
      <c r="U962" s="1">
        <v>18</v>
      </c>
      <c r="V962" s="1">
        <v>0</v>
      </c>
    </row>
    <row r="963" spans="1:22" x14ac:dyDescent="0.2">
      <c r="A963" s="1" t="s">
        <v>689</v>
      </c>
      <c r="B963" s="1" t="s">
        <v>966</v>
      </c>
      <c r="S963" s="1">
        <v>2</v>
      </c>
      <c r="T963" s="1">
        <v>3</v>
      </c>
      <c r="U963" s="1">
        <v>1</v>
      </c>
      <c r="V963" s="1">
        <v>1</v>
      </c>
    </row>
    <row r="964" spans="1:22" x14ac:dyDescent="0.2">
      <c r="A964" s="1" t="s">
        <v>689</v>
      </c>
      <c r="B964" s="1" t="s">
        <v>967</v>
      </c>
      <c r="T964" s="1">
        <v>7</v>
      </c>
      <c r="U964" s="1">
        <v>27</v>
      </c>
      <c r="V964" s="1">
        <v>14</v>
      </c>
    </row>
    <row r="965" spans="1:22" x14ac:dyDescent="0.2">
      <c r="A965" s="1" t="s">
        <v>689</v>
      </c>
      <c r="B965" s="1" t="s">
        <v>968</v>
      </c>
      <c r="R965" s="1">
        <v>3481</v>
      </c>
      <c r="S965" s="1">
        <v>2425</v>
      </c>
      <c r="T965" s="1">
        <v>3591</v>
      </c>
      <c r="U965" s="1">
        <v>5144</v>
      </c>
      <c r="V965" s="1">
        <v>3995</v>
      </c>
    </row>
    <row r="966" spans="1:22" x14ac:dyDescent="0.2">
      <c r="A966" s="1" t="s">
        <v>689</v>
      </c>
      <c r="B966" s="1" t="s">
        <v>969</v>
      </c>
      <c r="R966" s="1">
        <v>1508</v>
      </c>
      <c r="S966" s="1">
        <v>1532</v>
      </c>
      <c r="T966" s="1">
        <v>1590</v>
      </c>
      <c r="U966" s="1">
        <v>1404</v>
      </c>
      <c r="V966" s="1">
        <v>1275</v>
      </c>
    </row>
    <row r="967" spans="1:22" x14ac:dyDescent="0.2">
      <c r="A967" s="1" t="s">
        <v>689</v>
      </c>
      <c r="B967" s="1" t="s">
        <v>970</v>
      </c>
      <c r="R967" s="1">
        <v>1006</v>
      </c>
      <c r="S967" s="1">
        <v>1051</v>
      </c>
      <c r="T967" s="1">
        <v>920</v>
      </c>
      <c r="U967" s="1">
        <v>925</v>
      </c>
      <c r="V967" s="1">
        <v>981</v>
      </c>
    </row>
    <row r="968" spans="1:22" x14ac:dyDescent="0.2">
      <c r="A968" s="1" t="s">
        <v>689</v>
      </c>
      <c r="B968" s="1" t="s">
        <v>971</v>
      </c>
      <c r="U968" s="1">
        <v>1</v>
      </c>
      <c r="V968" s="1">
        <v>0</v>
      </c>
    </row>
    <row r="969" spans="1:22" x14ac:dyDescent="0.2">
      <c r="A969" s="1" t="s">
        <v>689</v>
      </c>
      <c r="B969" s="1" t="s">
        <v>972</v>
      </c>
      <c r="S969" s="1">
        <v>12</v>
      </c>
      <c r="T969" s="1">
        <v>21</v>
      </c>
      <c r="U969" s="1">
        <v>21</v>
      </c>
      <c r="V969" s="1">
        <v>249</v>
      </c>
    </row>
    <row r="970" spans="1:22" x14ac:dyDescent="0.2">
      <c r="A970" s="1" t="s">
        <v>689</v>
      </c>
      <c r="B970" s="1" t="s">
        <v>973</v>
      </c>
      <c r="R970" s="1">
        <v>2496</v>
      </c>
      <c r="S970" s="1">
        <v>2340</v>
      </c>
      <c r="T970" s="1">
        <v>2143</v>
      </c>
      <c r="U970" s="1">
        <v>972</v>
      </c>
      <c r="V970" s="1">
        <v>299</v>
      </c>
    </row>
    <row r="971" spans="1:22" x14ac:dyDescent="0.2">
      <c r="A971" s="1" t="s">
        <v>689</v>
      </c>
      <c r="B971" s="1" t="s">
        <v>974</v>
      </c>
      <c r="R971" s="1">
        <v>1069</v>
      </c>
      <c r="S971" s="1">
        <v>938</v>
      </c>
      <c r="T971" s="1">
        <v>935</v>
      </c>
      <c r="U971" s="1">
        <v>799</v>
      </c>
      <c r="V971" s="1">
        <v>708</v>
      </c>
    </row>
    <row r="972" spans="1:22" x14ac:dyDescent="0.2">
      <c r="A972" s="1" t="s">
        <v>689</v>
      </c>
      <c r="B972" s="1" t="s">
        <v>975</v>
      </c>
      <c r="S972" s="1">
        <v>19</v>
      </c>
      <c r="T972" s="1">
        <v>24</v>
      </c>
      <c r="U972" s="1">
        <v>21</v>
      </c>
      <c r="V972" s="1">
        <v>26</v>
      </c>
    </row>
    <row r="973" spans="1:22" x14ac:dyDescent="0.2">
      <c r="A973" s="1" t="s">
        <v>689</v>
      </c>
      <c r="B973" s="1" t="s">
        <v>976</v>
      </c>
      <c r="S973" s="1">
        <v>36</v>
      </c>
      <c r="T973" s="1">
        <v>43</v>
      </c>
      <c r="U973" s="1">
        <v>44</v>
      </c>
      <c r="V973" s="1">
        <v>59</v>
      </c>
    </row>
    <row r="974" spans="1:22" x14ac:dyDescent="0.2">
      <c r="A974" s="1" t="s">
        <v>689</v>
      </c>
      <c r="B974" s="1" t="s">
        <v>977</v>
      </c>
      <c r="T974" s="1">
        <v>300</v>
      </c>
      <c r="U974" s="1">
        <v>907</v>
      </c>
      <c r="V974" s="1">
        <v>799</v>
      </c>
    </row>
    <row r="975" spans="1:22" x14ac:dyDescent="0.2">
      <c r="A975" s="1" t="s">
        <v>689</v>
      </c>
      <c r="B975" s="1" t="s">
        <v>978</v>
      </c>
      <c r="U975" s="1">
        <v>0</v>
      </c>
      <c r="V975" s="1">
        <v>0</v>
      </c>
    </row>
    <row r="976" spans="1:22" x14ac:dyDescent="0.2">
      <c r="A976" s="1" t="s">
        <v>689</v>
      </c>
      <c r="B976" s="1" t="s">
        <v>979</v>
      </c>
      <c r="U976" s="1">
        <v>0</v>
      </c>
      <c r="V976" s="1">
        <v>0</v>
      </c>
    </row>
    <row r="977" spans="1:22" x14ac:dyDescent="0.2">
      <c r="A977" s="1" t="s">
        <v>689</v>
      </c>
      <c r="B977" s="1" t="s">
        <v>980</v>
      </c>
      <c r="S977" s="1">
        <v>178</v>
      </c>
      <c r="T977" s="1">
        <v>104</v>
      </c>
      <c r="U977" s="1">
        <v>33</v>
      </c>
      <c r="V977" s="1">
        <v>32</v>
      </c>
    </row>
    <row r="978" spans="1:22" x14ac:dyDescent="0.2">
      <c r="A978" s="1" t="s">
        <v>689</v>
      </c>
      <c r="B978" s="1" t="s">
        <v>981</v>
      </c>
      <c r="R978" s="1">
        <v>43</v>
      </c>
      <c r="S978" s="1">
        <v>214</v>
      </c>
      <c r="T978" s="1">
        <v>150</v>
      </c>
      <c r="U978" s="1">
        <v>162</v>
      </c>
      <c r="V978" s="1">
        <v>63</v>
      </c>
    </row>
    <row r="979" spans="1:22" x14ac:dyDescent="0.2">
      <c r="A979" s="1" t="s">
        <v>689</v>
      </c>
      <c r="B979" s="1" t="s">
        <v>982</v>
      </c>
      <c r="S979" s="1">
        <v>307</v>
      </c>
      <c r="T979" s="1">
        <v>128</v>
      </c>
      <c r="U979" s="1">
        <v>28</v>
      </c>
      <c r="V979" s="1">
        <v>85</v>
      </c>
    </row>
    <row r="980" spans="1:22" x14ac:dyDescent="0.2">
      <c r="A980" s="1" t="s">
        <v>689</v>
      </c>
      <c r="B980" s="1" t="s">
        <v>983</v>
      </c>
      <c r="R980" s="1">
        <v>547</v>
      </c>
      <c r="S980" s="1">
        <v>533</v>
      </c>
      <c r="T980" s="1">
        <v>498</v>
      </c>
      <c r="U980" s="1">
        <v>190</v>
      </c>
      <c r="V980" s="1">
        <v>53</v>
      </c>
    </row>
    <row r="981" spans="1:22" x14ac:dyDescent="0.2">
      <c r="A981" s="1" t="s">
        <v>689</v>
      </c>
      <c r="B981" s="1" t="s">
        <v>984</v>
      </c>
      <c r="S981" s="1">
        <v>61</v>
      </c>
      <c r="T981" s="1">
        <v>118</v>
      </c>
      <c r="U981" s="1">
        <v>99</v>
      </c>
      <c r="V981" s="1">
        <v>83</v>
      </c>
    </row>
    <row r="982" spans="1:22" x14ac:dyDescent="0.2">
      <c r="A982" s="1" t="s">
        <v>689</v>
      </c>
      <c r="B982" s="1" t="s">
        <v>985</v>
      </c>
      <c r="R982" s="1">
        <v>1959</v>
      </c>
      <c r="S982" s="1">
        <v>2108</v>
      </c>
      <c r="T982" s="1">
        <v>2277</v>
      </c>
      <c r="U982" s="1">
        <v>1866</v>
      </c>
      <c r="V982" s="1">
        <v>1548</v>
      </c>
    </row>
    <row r="983" spans="1:22" x14ac:dyDescent="0.2">
      <c r="A983" s="1" t="s">
        <v>689</v>
      </c>
      <c r="B983" s="1" t="s">
        <v>986</v>
      </c>
      <c r="U983" s="1">
        <v>0</v>
      </c>
      <c r="V983" s="1">
        <v>0</v>
      </c>
    </row>
    <row r="984" spans="1:22" x14ac:dyDescent="0.2">
      <c r="A984" s="1" t="s">
        <v>689</v>
      </c>
      <c r="B984" s="1" t="s">
        <v>987</v>
      </c>
      <c r="S984" s="1">
        <v>24</v>
      </c>
      <c r="T984" s="1">
        <v>19</v>
      </c>
      <c r="U984" s="1">
        <v>9</v>
      </c>
      <c r="V984" s="1">
        <v>21</v>
      </c>
    </row>
    <row r="985" spans="1:22" x14ac:dyDescent="0.2">
      <c r="A985" s="1" t="s">
        <v>689</v>
      </c>
      <c r="B985" s="1" t="s">
        <v>988</v>
      </c>
      <c r="T985" s="1">
        <v>22</v>
      </c>
      <c r="U985" s="1">
        <v>11</v>
      </c>
      <c r="V985" s="1">
        <v>0</v>
      </c>
    </row>
    <row r="986" spans="1:22" x14ac:dyDescent="0.2">
      <c r="A986" s="1" t="s">
        <v>689</v>
      </c>
      <c r="B986" s="1" t="s">
        <v>989</v>
      </c>
      <c r="T986" s="1">
        <v>234</v>
      </c>
      <c r="U986" s="1">
        <v>326</v>
      </c>
      <c r="V986" s="1">
        <v>429</v>
      </c>
    </row>
    <row r="987" spans="1:22" x14ac:dyDescent="0.2">
      <c r="A987" s="1" t="s">
        <v>689</v>
      </c>
      <c r="B987" s="1" t="s">
        <v>990</v>
      </c>
      <c r="T987" s="1">
        <v>1</v>
      </c>
      <c r="U987" s="1">
        <v>61</v>
      </c>
      <c r="V987" s="1">
        <v>53</v>
      </c>
    </row>
    <row r="988" spans="1:22" x14ac:dyDescent="0.2">
      <c r="A988" s="1" t="s">
        <v>689</v>
      </c>
      <c r="B988" s="1" t="s">
        <v>991</v>
      </c>
      <c r="U988" s="1">
        <v>0</v>
      </c>
      <c r="V988" s="1">
        <v>0</v>
      </c>
    </row>
    <row r="989" spans="1:22" x14ac:dyDescent="0.2">
      <c r="A989" s="1" t="s">
        <v>689</v>
      </c>
      <c r="B989" s="1" t="s">
        <v>992</v>
      </c>
      <c r="U989" s="1">
        <v>0</v>
      </c>
      <c r="V989" s="1">
        <v>0</v>
      </c>
    </row>
    <row r="990" spans="1:22" x14ac:dyDescent="0.2">
      <c r="A990" s="1" t="s">
        <v>689</v>
      </c>
      <c r="B990" s="1" t="s">
        <v>993</v>
      </c>
      <c r="T990" s="1">
        <v>3715</v>
      </c>
      <c r="U990" s="1">
        <v>0</v>
      </c>
      <c r="V990" s="1">
        <v>51</v>
      </c>
    </row>
    <row r="991" spans="1:22" x14ac:dyDescent="0.2">
      <c r="A991" s="1" t="s">
        <v>689</v>
      </c>
      <c r="B991" s="1" t="s">
        <v>994</v>
      </c>
      <c r="R991" s="1">
        <v>506</v>
      </c>
      <c r="S991" s="1">
        <v>450</v>
      </c>
      <c r="U991" s="1">
        <v>0</v>
      </c>
      <c r="V991" s="1">
        <v>0</v>
      </c>
    </row>
    <row r="992" spans="1:22" s="7" customFormat="1" x14ac:dyDescent="0.2">
      <c r="A992" s="1" t="s">
        <v>689</v>
      </c>
      <c r="B992" s="1" t="s">
        <v>995</v>
      </c>
      <c r="C992" s="1"/>
      <c r="D992" s="1"/>
      <c r="E992" s="1"/>
      <c r="F992" s="1"/>
      <c r="G992" s="1"/>
      <c r="H992" s="1"/>
      <c r="I992" s="1"/>
      <c r="J992" s="1"/>
      <c r="K992" s="1"/>
      <c r="L992" s="1"/>
      <c r="M992" s="1"/>
      <c r="N992" s="1"/>
      <c r="O992" s="1"/>
      <c r="P992" s="1"/>
      <c r="Q992" s="1"/>
      <c r="R992" s="1"/>
      <c r="S992" s="1"/>
      <c r="T992" s="1"/>
      <c r="U992" s="1"/>
      <c r="V992" s="1">
        <v>51</v>
      </c>
    </row>
    <row r="993" spans="1:22" x14ac:dyDescent="0.2">
      <c r="A993" s="1" t="s">
        <v>689</v>
      </c>
      <c r="B993" s="1" t="s">
        <v>996</v>
      </c>
      <c r="V993" s="1">
        <v>6</v>
      </c>
    </row>
    <row r="994" spans="1:22" x14ac:dyDescent="0.2">
      <c r="A994" s="1" t="s">
        <v>689</v>
      </c>
      <c r="B994" s="1" t="s">
        <v>997</v>
      </c>
      <c r="R994" s="1">
        <f>1399+165+1455</f>
        <v>3019</v>
      </c>
      <c r="S994" s="1">
        <f>1291+2994+1</f>
        <v>4286</v>
      </c>
      <c r="T994" s="1">
        <v>387</v>
      </c>
      <c r="U994" s="1">
        <v>325</v>
      </c>
      <c r="V994" s="1">
        <v>189</v>
      </c>
    </row>
    <row r="995" spans="1:22" x14ac:dyDescent="0.2">
      <c r="A995" s="1" t="s">
        <v>689</v>
      </c>
      <c r="B995" s="1" t="s">
        <v>998</v>
      </c>
      <c r="R995" s="1">
        <v>592</v>
      </c>
      <c r="S995" s="1">
        <v>604</v>
      </c>
      <c r="T995" s="1">
        <v>463</v>
      </c>
      <c r="U995" s="1">
        <v>455</v>
      </c>
      <c r="V995" s="1">
        <v>638</v>
      </c>
    </row>
    <row r="996" spans="1:22" x14ac:dyDescent="0.2">
      <c r="A996" s="1" t="s">
        <v>689</v>
      </c>
      <c r="B996" s="1" t="s">
        <v>999</v>
      </c>
      <c r="R996" s="1">
        <v>6189</v>
      </c>
      <c r="S996" s="1">
        <v>9476</v>
      </c>
      <c r="T996" s="1">
        <v>13049</v>
      </c>
      <c r="U996" s="1">
        <v>12556</v>
      </c>
      <c r="V996" s="1">
        <f>2436+1891</f>
        <v>4327</v>
      </c>
    </row>
    <row r="997" spans="1:22" x14ac:dyDescent="0.2">
      <c r="A997" s="1" t="s">
        <v>689</v>
      </c>
      <c r="B997" s="1" t="s">
        <v>1000</v>
      </c>
      <c r="V997" s="1">
        <v>11956</v>
      </c>
    </row>
    <row r="998" spans="1:22" x14ac:dyDescent="0.2">
      <c r="A998" s="1" t="s">
        <v>689</v>
      </c>
      <c r="B998" s="1" t="s">
        <v>1001</v>
      </c>
      <c r="V998" s="1">
        <v>137</v>
      </c>
    </row>
    <row r="999" spans="1:22" x14ac:dyDescent="0.2">
      <c r="A999" s="1" t="s">
        <v>689</v>
      </c>
      <c r="B999" s="1" t="s">
        <v>1002</v>
      </c>
      <c r="V999" s="1">
        <v>403</v>
      </c>
    </row>
    <row r="1000" spans="1:22" x14ac:dyDescent="0.2">
      <c r="A1000" s="1" t="s">
        <v>689</v>
      </c>
      <c r="B1000" s="1" t="s">
        <v>1003</v>
      </c>
      <c r="V1000" s="1">
        <v>0</v>
      </c>
    </row>
    <row r="1001" spans="1:22" x14ac:dyDescent="0.2">
      <c r="A1001" s="1" t="s">
        <v>689</v>
      </c>
      <c r="B1001" s="1" t="s">
        <v>1004</v>
      </c>
      <c r="V1001" s="1">
        <v>22</v>
      </c>
    </row>
    <row r="1002" spans="1:22" x14ac:dyDescent="0.2">
      <c r="A1002" s="1" t="s">
        <v>689</v>
      </c>
      <c r="B1002" s="1" t="s">
        <v>1005</v>
      </c>
      <c r="V1002" s="1">
        <v>84</v>
      </c>
    </row>
    <row r="1003" spans="1:22" x14ac:dyDescent="0.2">
      <c r="A1003" s="1" t="s">
        <v>689</v>
      </c>
      <c r="B1003" s="1" t="s">
        <v>1006</v>
      </c>
      <c r="V1003" s="1">
        <v>199</v>
      </c>
    </row>
    <row r="1004" spans="1:22" x14ac:dyDescent="0.2">
      <c r="A1004" s="1" t="s">
        <v>689</v>
      </c>
      <c r="B1004" s="1" t="s">
        <v>1007</v>
      </c>
      <c r="V1004" s="1">
        <v>0</v>
      </c>
    </row>
    <row r="1005" spans="1:22" x14ac:dyDescent="0.2">
      <c r="A1005" s="1" t="s">
        <v>689</v>
      </c>
      <c r="B1005" s="1" t="s">
        <v>1008</v>
      </c>
      <c r="R1005" s="1">
        <v>14398</v>
      </c>
      <c r="S1005" s="1">
        <v>8742</v>
      </c>
      <c r="T1005" s="1">
        <v>473</v>
      </c>
      <c r="U1005" s="1">
        <v>326</v>
      </c>
      <c r="V1005" s="1">
        <v>201</v>
      </c>
    </row>
    <row r="1006" spans="1:22" x14ac:dyDescent="0.2">
      <c r="A1006" s="1" t="s">
        <v>689</v>
      </c>
      <c r="B1006" s="1" t="s">
        <v>1009</v>
      </c>
      <c r="V1006" s="1">
        <v>0</v>
      </c>
    </row>
    <row r="1007" spans="1:22" x14ac:dyDescent="0.2">
      <c r="A1007" s="1" t="s">
        <v>689</v>
      </c>
      <c r="B1007" s="1" t="s">
        <v>1010</v>
      </c>
      <c r="R1007" s="1">
        <v>506</v>
      </c>
      <c r="S1007" s="1">
        <v>5637</v>
      </c>
      <c r="T1007" s="1">
        <v>7397</v>
      </c>
      <c r="U1007" s="1">
        <v>8146</v>
      </c>
      <c r="V1007" s="1">
        <v>0</v>
      </c>
    </row>
    <row r="1008" spans="1:22" x14ac:dyDescent="0.2">
      <c r="A1008" s="1" t="s">
        <v>689</v>
      </c>
      <c r="B1008" s="1" t="s">
        <v>1011</v>
      </c>
      <c r="V1008" s="1">
        <v>628</v>
      </c>
    </row>
    <row r="1009" spans="1:22" x14ac:dyDescent="0.2">
      <c r="A1009" s="1" t="s">
        <v>689</v>
      </c>
      <c r="B1009" s="1" t="s">
        <v>1012</v>
      </c>
      <c r="V1009" s="1">
        <v>1579</v>
      </c>
    </row>
    <row r="1010" spans="1:22" x14ac:dyDescent="0.2">
      <c r="A1010" s="1" t="s">
        <v>689</v>
      </c>
      <c r="B1010" s="1" t="s">
        <v>1013</v>
      </c>
      <c r="V1010" s="1">
        <v>0</v>
      </c>
    </row>
    <row r="1011" spans="1:22" x14ac:dyDescent="0.2">
      <c r="A1011" s="1" t="s">
        <v>689</v>
      </c>
      <c r="B1011" s="1" t="s">
        <v>1014</v>
      </c>
      <c r="V1011" s="1">
        <v>0</v>
      </c>
    </row>
    <row r="1012" spans="1:22" x14ac:dyDescent="0.2">
      <c r="A1012" s="1" t="s">
        <v>689</v>
      </c>
      <c r="B1012" s="1" t="s">
        <v>1015</v>
      </c>
      <c r="V1012" s="1">
        <v>14</v>
      </c>
    </row>
    <row r="1013" spans="1:22" x14ac:dyDescent="0.2">
      <c r="A1013" s="1" t="s">
        <v>689</v>
      </c>
      <c r="B1013" s="1" t="s">
        <v>1016</v>
      </c>
      <c r="R1013" s="1">
        <v>2116</v>
      </c>
      <c r="V1013" s="1">
        <v>2325</v>
      </c>
    </row>
    <row r="1014" spans="1:22" x14ac:dyDescent="0.2">
      <c r="A1014" s="1" t="s">
        <v>689</v>
      </c>
      <c r="B1014" s="1" t="s">
        <v>1017</v>
      </c>
      <c r="V1014" s="1">
        <v>5335</v>
      </c>
    </row>
    <row r="1015" spans="1:22" x14ac:dyDescent="0.2">
      <c r="A1015" s="1" t="s">
        <v>689</v>
      </c>
      <c r="B1015" s="1" t="s">
        <v>1018</v>
      </c>
      <c r="V1015" s="1">
        <v>394</v>
      </c>
    </row>
    <row r="1016" spans="1:22" x14ac:dyDescent="0.2">
      <c r="A1016" s="1" t="s">
        <v>689</v>
      </c>
      <c r="B1016" s="1" t="s">
        <v>1019</v>
      </c>
      <c r="V1016" s="1">
        <v>10</v>
      </c>
    </row>
    <row r="1017" spans="1:22" x14ac:dyDescent="0.2">
      <c r="A1017" s="1" t="s">
        <v>689</v>
      </c>
      <c r="B1017" s="1" t="s">
        <v>1020</v>
      </c>
      <c r="R1017" s="1">
        <f>2850+1140+1137</f>
        <v>5127</v>
      </c>
      <c r="S1017" s="1">
        <f>1977+964+1900</f>
        <v>4841</v>
      </c>
      <c r="T1017" s="1">
        <f>114+412</f>
        <v>526</v>
      </c>
      <c r="U1017" s="1">
        <v>941</v>
      </c>
      <c r="V1017" s="1">
        <v>134</v>
      </c>
    </row>
    <row r="1018" spans="1:22" x14ac:dyDescent="0.2">
      <c r="A1018" s="1" t="s">
        <v>689</v>
      </c>
      <c r="B1018" s="1" t="s">
        <v>1021</v>
      </c>
      <c r="R1018" s="1">
        <v>757</v>
      </c>
      <c r="S1018" s="1">
        <v>194</v>
      </c>
      <c r="T1018" s="1">
        <v>172</v>
      </c>
      <c r="U1018" s="1">
        <v>147</v>
      </c>
      <c r="V1018" s="1">
        <v>270</v>
      </c>
    </row>
    <row r="1019" spans="1:22" x14ac:dyDescent="0.2">
      <c r="A1019" s="1" t="s">
        <v>689</v>
      </c>
      <c r="B1019" s="1" t="s">
        <v>1022</v>
      </c>
      <c r="R1019" s="1">
        <v>8595</v>
      </c>
      <c r="S1019" s="1">
        <v>9104</v>
      </c>
      <c r="T1019" s="1">
        <v>10754</v>
      </c>
      <c r="U1019" s="1">
        <v>9253</v>
      </c>
      <c r="V1019" s="1">
        <v>9462</v>
      </c>
    </row>
    <row r="1020" spans="1:22" x14ac:dyDescent="0.2">
      <c r="A1020" s="1" t="s">
        <v>689</v>
      </c>
      <c r="B1020" s="1" t="s">
        <v>1023</v>
      </c>
      <c r="R1020" s="1">
        <v>19</v>
      </c>
      <c r="S1020" s="1">
        <v>14</v>
      </c>
      <c r="T1020" s="1">
        <v>2</v>
      </c>
      <c r="V1020" s="1">
        <v>3</v>
      </c>
    </row>
    <row r="1021" spans="1:22" x14ac:dyDescent="0.2">
      <c r="A1021" s="1" t="s">
        <v>689</v>
      </c>
      <c r="B1021" s="1" t="s">
        <v>1024</v>
      </c>
      <c r="S1021" s="1">
        <v>303</v>
      </c>
      <c r="T1021" s="1">
        <v>359</v>
      </c>
      <c r="U1021" s="1">
        <v>396</v>
      </c>
      <c r="V1021" s="1">
        <v>581</v>
      </c>
    </row>
    <row r="1022" spans="1:22" x14ac:dyDescent="0.2">
      <c r="A1022" s="1" t="s">
        <v>689</v>
      </c>
      <c r="B1022" s="1" t="s">
        <v>1025</v>
      </c>
      <c r="R1022" s="1">
        <f>492+3413</f>
        <v>3905</v>
      </c>
      <c r="S1022" s="1">
        <v>6966</v>
      </c>
      <c r="T1022" s="1">
        <v>4817</v>
      </c>
      <c r="U1022" s="1">
        <v>11285</v>
      </c>
      <c r="V1022" s="1">
        <v>10551</v>
      </c>
    </row>
    <row r="1023" spans="1:22" x14ac:dyDescent="0.2">
      <c r="A1023" s="1" t="s">
        <v>689</v>
      </c>
      <c r="B1023" s="1" t="s">
        <v>1026</v>
      </c>
      <c r="S1023" s="1">
        <v>3</v>
      </c>
      <c r="T1023" s="1">
        <v>37</v>
      </c>
      <c r="U1023" s="1">
        <v>22</v>
      </c>
      <c r="V1023" s="1">
        <v>28</v>
      </c>
    </row>
    <row r="1024" spans="1:22" x14ac:dyDescent="0.2">
      <c r="A1024" s="1" t="s">
        <v>689</v>
      </c>
      <c r="B1024" s="1" t="s">
        <v>1027</v>
      </c>
      <c r="R1024" s="1">
        <f>6+802+685</f>
        <v>1493</v>
      </c>
      <c r="S1024" s="1">
        <f>1092+1416+1193+4</f>
        <v>3705</v>
      </c>
      <c r="T1024" s="1">
        <f>5+145+812</f>
        <v>962</v>
      </c>
      <c r="U1024" s="1">
        <v>40</v>
      </c>
      <c r="V1024" s="1">
        <f>21+4</f>
        <v>25</v>
      </c>
    </row>
    <row r="1025" spans="1:22" x14ac:dyDescent="0.2">
      <c r="A1025" s="1" t="s">
        <v>689</v>
      </c>
      <c r="B1025" s="1" t="s">
        <v>1028</v>
      </c>
      <c r="R1025" s="1">
        <v>445</v>
      </c>
      <c r="S1025" s="1">
        <v>647</v>
      </c>
      <c r="T1025" s="1">
        <v>512</v>
      </c>
      <c r="U1025" s="1">
        <v>345</v>
      </c>
      <c r="V1025" s="1">
        <v>375</v>
      </c>
    </row>
    <row r="1026" spans="1:22" x14ac:dyDescent="0.2">
      <c r="A1026" s="1" t="s">
        <v>689</v>
      </c>
      <c r="B1026" s="1" t="s">
        <v>1029</v>
      </c>
      <c r="S1026" s="1">
        <v>80</v>
      </c>
      <c r="T1026" s="1">
        <v>315</v>
      </c>
      <c r="U1026" s="1">
        <v>289</v>
      </c>
      <c r="V1026" s="1">
        <v>372</v>
      </c>
    </row>
    <row r="1027" spans="1:22" x14ac:dyDescent="0.2">
      <c r="A1027" s="1" t="s">
        <v>689</v>
      </c>
      <c r="B1027" s="1" t="s">
        <v>1030</v>
      </c>
      <c r="S1027" s="1">
        <v>2879</v>
      </c>
      <c r="T1027" s="1">
        <v>7819</v>
      </c>
      <c r="U1027" s="1">
        <v>7549</v>
      </c>
      <c r="V1027" s="1">
        <v>7264</v>
      </c>
    </row>
    <row r="1028" spans="1:22" x14ac:dyDescent="0.2">
      <c r="A1028" s="1" t="s">
        <v>689</v>
      </c>
      <c r="B1028" s="1" t="s">
        <v>1031</v>
      </c>
      <c r="S1028" s="1">
        <v>463</v>
      </c>
      <c r="T1028" s="1">
        <v>1753</v>
      </c>
      <c r="U1028" s="1">
        <v>3090</v>
      </c>
      <c r="V1028" s="1">
        <v>2586</v>
      </c>
    </row>
    <row r="1029" spans="1:22" x14ac:dyDescent="0.2">
      <c r="A1029" s="1" t="s">
        <v>689</v>
      </c>
      <c r="B1029" s="1" t="s">
        <v>1032</v>
      </c>
      <c r="S1029" s="1">
        <v>152</v>
      </c>
      <c r="T1029" s="1">
        <v>2368</v>
      </c>
      <c r="U1029" s="1">
        <v>1048</v>
      </c>
      <c r="V1029" s="1">
        <v>660</v>
      </c>
    </row>
    <row r="1030" spans="1:22" x14ac:dyDescent="0.2">
      <c r="A1030" s="1" t="s">
        <v>689</v>
      </c>
      <c r="B1030" s="1" t="s">
        <v>1033</v>
      </c>
      <c r="S1030" s="1">
        <v>144</v>
      </c>
      <c r="T1030" s="1">
        <v>396</v>
      </c>
      <c r="U1030" s="1">
        <v>440</v>
      </c>
      <c r="V1030" s="1">
        <v>417</v>
      </c>
    </row>
    <row r="1031" spans="1:22" x14ac:dyDescent="0.2">
      <c r="A1031" s="1" t="s">
        <v>689</v>
      </c>
      <c r="B1031" s="1" t="s">
        <v>1034</v>
      </c>
      <c r="R1031" s="1">
        <v>14062</v>
      </c>
      <c r="S1031" s="1">
        <v>9554</v>
      </c>
      <c r="T1031" s="1">
        <v>239</v>
      </c>
      <c r="U1031" s="1">
        <v>1</v>
      </c>
      <c r="V1031" s="1">
        <v>2</v>
      </c>
    </row>
    <row r="1032" spans="1:22" x14ac:dyDescent="0.2">
      <c r="A1032" s="1" t="s">
        <v>689</v>
      </c>
      <c r="B1032" s="1" t="s">
        <v>1035</v>
      </c>
      <c r="R1032" s="1">
        <v>1634</v>
      </c>
      <c r="S1032" s="1">
        <v>278</v>
      </c>
      <c r="T1032" s="1">
        <v>673</v>
      </c>
      <c r="U1032" s="1">
        <v>818</v>
      </c>
      <c r="V1032" s="1">
        <v>1391</v>
      </c>
    </row>
    <row r="1033" spans="1:22" x14ac:dyDescent="0.2">
      <c r="A1033" s="1" t="s">
        <v>689</v>
      </c>
      <c r="B1033" s="1" t="s">
        <v>1036</v>
      </c>
      <c r="S1033" s="1">
        <v>2</v>
      </c>
      <c r="T1033" s="1">
        <v>7</v>
      </c>
      <c r="U1033" s="1">
        <v>13</v>
      </c>
      <c r="V1033" s="1">
        <v>13</v>
      </c>
    </row>
    <row r="1034" spans="1:22" x14ac:dyDescent="0.2">
      <c r="A1034" s="1" t="s">
        <v>689</v>
      </c>
      <c r="B1034" s="1" t="s">
        <v>1037</v>
      </c>
      <c r="R1034" s="1">
        <v>114</v>
      </c>
      <c r="S1034" s="1">
        <v>302</v>
      </c>
      <c r="T1034" s="1">
        <v>1416</v>
      </c>
      <c r="U1034" s="1">
        <v>1163</v>
      </c>
      <c r="V1034" s="1">
        <v>2194</v>
      </c>
    </row>
    <row r="1035" spans="1:22" x14ac:dyDescent="0.2">
      <c r="A1035" s="1" t="s">
        <v>689</v>
      </c>
      <c r="B1035" s="1" t="s">
        <v>1038</v>
      </c>
      <c r="T1035" s="1">
        <v>5</v>
      </c>
      <c r="U1035" s="1">
        <v>1</v>
      </c>
      <c r="V1035" s="1">
        <v>2</v>
      </c>
    </row>
    <row r="1036" spans="1:22" x14ac:dyDescent="0.2">
      <c r="A1036" s="1" t="s">
        <v>689</v>
      </c>
      <c r="B1036" s="1" t="s">
        <v>1039</v>
      </c>
      <c r="S1036" s="1">
        <v>1532</v>
      </c>
      <c r="T1036" s="1">
        <v>437</v>
      </c>
      <c r="U1036" s="1">
        <v>133</v>
      </c>
      <c r="V1036" s="1">
        <v>145</v>
      </c>
    </row>
    <row r="1037" spans="1:22" x14ac:dyDescent="0.2">
      <c r="A1037" s="1" t="s">
        <v>689</v>
      </c>
      <c r="B1037" s="1" t="s">
        <v>1040</v>
      </c>
      <c r="T1037" s="1">
        <v>1388</v>
      </c>
      <c r="U1037" s="1">
        <v>1419</v>
      </c>
      <c r="V1037" s="1">
        <v>1401</v>
      </c>
    </row>
    <row r="1038" spans="1:22" x14ac:dyDescent="0.2">
      <c r="A1038" s="1" t="s">
        <v>689</v>
      </c>
      <c r="B1038" s="1" t="s">
        <v>1041</v>
      </c>
      <c r="U1038" s="1">
        <v>0</v>
      </c>
      <c r="V1038" s="1">
        <v>0</v>
      </c>
    </row>
    <row r="1039" spans="1:22" x14ac:dyDescent="0.2">
      <c r="A1039" s="1" t="s">
        <v>689</v>
      </c>
      <c r="B1039" s="1" t="s">
        <v>1042</v>
      </c>
      <c r="T1039" s="1">
        <v>269</v>
      </c>
      <c r="U1039" s="1">
        <v>353</v>
      </c>
      <c r="V1039" s="1">
        <v>460</v>
      </c>
    </row>
    <row r="1040" spans="1:22" x14ac:dyDescent="0.2">
      <c r="A1040" s="1" t="s">
        <v>689</v>
      </c>
      <c r="B1040" s="1" t="s">
        <v>1043</v>
      </c>
      <c r="U1040" s="1">
        <v>10</v>
      </c>
      <c r="V1040" s="1">
        <v>16</v>
      </c>
    </row>
    <row r="1041" spans="1:22" x14ac:dyDescent="0.2">
      <c r="A1041" s="1" t="s">
        <v>689</v>
      </c>
      <c r="B1041" s="1" t="s">
        <v>1044</v>
      </c>
      <c r="R1041" s="1">
        <v>1595</v>
      </c>
      <c r="S1041" s="1">
        <v>1444</v>
      </c>
      <c r="V1041" s="1">
        <v>0</v>
      </c>
    </row>
    <row r="1042" spans="1:22" x14ac:dyDescent="0.2">
      <c r="A1042" s="1" t="s">
        <v>689</v>
      </c>
      <c r="B1042" s="1" t="s">
        <v>1045</v>
      </c>
      <c r="R1042" s="1">
        <f>952+1535+1738</f>
        <v>4225</v>
      </c>
      <c r="S1042" s="1">
        <f>3823+3875</f>
        <v>7698</v>
      </c>
      <c r="T1042" s="1">
        <f>24+558</f>
        <v>582</v>
      </c>
      <c r="U1042" s="1">
        <v>273</v>
      </c>
      <c r="V1042" s="1">
        <v>189</v>
      </c>
    </row>
    <row r="1043" spans="1:22" x14ac:dyDescent="0.2">
      <c r="A1043" s="1" t="s">
        <v>689</v>
      </c>
      <c r="B1043" s="1" t="s">
        <v>1046</v>
      </c>
      <c r="R1043" s="1">
        <f>1604+4112</f>
        <v>5716</v>
      </c>
      <c r="S1043" s="1">
        <f>1395+4704</f>
        <v>6099</v>
      </c>
      <c r="T1043" s="1">
        <f>1372+4334</f>
        <v>5706</v>
      </c>
      <c r="U1043" s="1">
        <f>1715+3463</f>
        <v>5178</v>
      </c>
      <c r="V1043" s="1">
        <f>1822+3457</f>
        <v>5279</v>
      </c>
    </row>
    <row r="1044" spans="1:22" x14ac:dyDescent="0.2">
      <c r="A1044" s="1" t="s">
        <v>689</v>
      </c>
      <c r="B1044" s="1" t="s">
        <v>1047</v>
      </c>
      <c r="R1044" s="1">
        <v>1159</v>
      </c>
      <c r="S1044" s="1">
        <v>1170</v>
      </c>
      <c r="T1044" s="1">
        <v>1167</v>
      </c>
      <c r="U1044" s="1">
        <v>1179</v>
      </c>
      <c r="V1044" s="1">
        <v>1211</v>
      </c>
    </row>
    <row r="1045" spans="1:22" x14ac:dyDescent="0.2">
      <c r="A1045" s="1" t="s">
        <v>689</v>
      </c>
      <c r="B1045" s="1" t="s">
        <v>1048</v>
      </c>
      <c r="R1045" s="1">
        <v>91</v>
      </c>
      <c r="S1045" s="1">
        <v>97</v>
      </c>
      <c r="T1045" s="1">
        <v>128</v>
      </c>
      <c r="U1045" s="1">
        <v>161</v>
      </c>
      <c r="V1045" s="1">
        <v>163</v>
      </c>
    </row>
    <row r="1046" spans="1:22" x14ac:dyDescent="0.2">
      <c r="A1046" s="1" t="s">
        <v>689</v>
      </c>
      <c r="B1046" s="1" t="s">
        <v>1049</v>
      </c>
      <c r="R1046" s="1">
        <f>464+1330</f>
        <v>1794</v>
      </c>
      <c r="S1046" s="1">
        <f>1836+293</f>
        <v>2129</v>
      </c>
      <c r="T1046" s="1">
        <v>236</v>
      </c>
      <c r="U1046" s="1">
        <v>52</v>
      </c>
      <c r="V1046" s="1">
        <v>99</v>
      </c>
    </row>
    <row r="1047" spans="1:22" x14ac:dyDescent="0.2">
      <c r="A1047" s="1" t="s">
        <v>689</v>
      </c>
      <c r="B1047" s="1" t="s">
        <v>1050</v>
      </c>
      <c r="R1047" s="1">
        <v>6</v>
      </c>
      <c r="S1047" s="1">
        <v>16</v>
      </c>
      <c r="T1047" s="1">
        <v>9</v>
      </c>
      <c r="U1047" s="1">
        <v>8</v>
      </c>
      <c r="V1047" s="1">
        <v>13</v>
      </c>
    </row>
    <row r="1048" spans="1:22" x14ac:dyDescent="0.2">
      <c r="A1048" s="1" t="s">
        <v>689</v>
      </c>
      <c r="B1048" s="1" t="s">
        <v>1051</v>
      </c>
      <c r="R1048" s="1">
        <v>192</v>
      </c>
      <c r="S1048" s="1">
        <v>284</v>
      </c>
      <c r="T1048" s="1">
        <v>301</v>
      </c>
      <c r="U1048" s="1">
        <v>279</v>
      </c>
      <c r="V1048" s="1">
        <v>321</v>
      </c>
    </row>
    <row r="1049" spans="1:22" x14ac:dyDescent="0.2">
      <c r="A1049" s="1" t="s">
        <v>689</v>
      </c>
      <c r="B1049" s="1" t="s">
        <v>1052</v>
      </c>
      <c r="R1049" s="1">
        <v>39</v>
      </c>
      <c r="S1049" s="1">
        <v>32</v>
      </c>
      <c r="T1049" s="1">
        <v>4</v>
      </c>
      <c r="U1049" s="1">
        <v>3</v>
      </c>
      <c r="V1049" s="1">
        <v>13</v>
      </c>
    </row>
    <row r="1050" spans="1:22" x14ac:dyDescent="0.2">
      <c r="A1050" s="1" t="s">
        <v>689</v>
      </c>
      <c r="B1050" s="1" t="s">
        <v>1053</v>
      </c>
      <c r="R1050" s="1">
        <v>77</v>
      </c>
      <c r="S1050" s="1">
        <v>91</v>
      </c>
      <c r="T1050" s="1">
        <v>92</v>
      </c>
      <c r="U1050" s="1">
        <v>96</v>
      </c>
      <c r="V1050" s="1">
        <v>63</v>
      </c>
    </row>
    <row r="1051" spans="1:22" x14ac:dyDescent="0.2">
      <c r="A1051" s="1" t="s">
        <v>689</v>
      </c>
      <c r="B1051" s="1" t="s">
        <v>1054</v>
      </c>
      <c r="R1051" s="1">
        <v>20</v>
      </c>
      <c r="S1051" s="1">
        <v>5</v>
      </c>
      <c r="T1051" s="1">
        <v>19</v>
      </c>
      <c r="U1051" s="1">
        <v>19</v>
      </c>
      <c r="V1051" s="1">
        <v>43</v>
      </c>
    </row>
    <row r="1052" spans="1:22" x14ac:dyDescent="0.2">
      <c r="A1052" s="1" t="s">
        <v>689</v>
      </c>
      <c r="B1052" s="1" t="s">
        <v>1055</v>
      </c>
      <c r="R1052" s="1">
        <v>44</v>
      </c>
      <c r="S1052" s="1">
        <v>113</v>
      </c>
      <c r="T1052" s="1">
        <v>116</v>
      </c>
      <c r="U1052" s="1">
        <v>128</v>
      </c>
      <c r="V1052" s="1">
        <v>67</v>
      </c>
    </row>
    <row r="1053" spans="1:22" x14ac:dyDescent="0.2">
      <c r="A1053" s="1" t="s">
        <v>689</v>
      </c>
      <c r="B1053" s="1" t="s">
        <v>1056</v>
      </c>
      <c r="R1053" s="1">
        <v>34</v>
      </c>
      <c r="S1053" s="1">
        <v>82</v>
      </c>
      <c r="T1053" s="1">
        <v>93</v>
      </c>
      <c r="U1053" s="1">
        <v>141</v>
      </c>
      <c r="V1053" s="1">
        <v>73</v>
      </c>
    </row>
    <row r="1054" spans="1:22" x14ac:dyDescent="0.2">
      <c r="A1054" s="1" t="s">
        <v>689</v>
      </c>
      <c r="B1054" s="1" t="s">
        <v>1057</v>
      </c>
      <c r="R1054" s="1">
        <v>21</v>
      </c>
      <c r="S1054" s="1">
        <v>21</v>
      </c>
      <c r="V1054" s="1">
        <v>0</v>
      </c>
    </row>
    <row r="1055" spans="1:22" x14ac:dyDescent="0.2">
      <c r="A1055" s="1" t="s">
        <v>689</v>
      </c>
      <c r="B1055" s="1" t="s">
        <v>1058</v>
      </c>
      <c r="R1055" s="1">
        <f>1+64</f>
        <v>65</v>
      </c>
      <c r="S1055" s="1">
        <f>321</f>
        <v>321</v>
      </c>
      <c r="V1055" s="1">
        <v>0</v>
      </c>
    </row>
    <row r="1056" spans="1:22" x14ac:dyDescent="0.2">
      <c r="A1056" s="1" t="s">
        <v>689</v>
      </c>
      <c r="B1056" s="1" t="s">
        <v>1059</v>
      </c>
      <c r="S1056" s="1">
        <v>3</v>
      </c>
      <c r="T1056" s="1">
        <v>11</v>
      </c>
      <c r="U1056" s="1">
        <v>14</v>
      </c>
      <c r="V1056" s="1">
        <v>7</v>
      </c>
    </row>
    <row r="1057" spans="1:28" x14ac:dyDescent="0.2">
      <c r="B1057" s="1" t="s">
        <v>1060</v>
      </c>
      <c r="O1057" s="1">
        <v>0</v>
      </c>
      <c r="P1057" s="1">
        <v>46</v>
      </c>
      <c r="Q1057" s="1">
        <f>70+2</f>
        <v>72</v>
      </c>
      <c r="R1057" s="1">
        <v>82</v>
      </c>
      <c r="S1057" s="1">
        <v>187</v>
      </c>
      <c r="T1057" s="1">
        <v>221</v>
      </c>
      <c r="U1057" s="1">
        <v>357</v>
      </c>
      <c r="V1057" s="1">
        <f>U1061</f>
        <v>499</v>
      </c>
    </row>
    <row r="1058" spans="1:28" x14ac:dyDescent="0.2">
      <c r="B1058" s="1" t="s">
        <v>1061</v>
      </c>
      <c r="O1058" s="1">
        <v>231</v>
      </c>
      <c r="P1058" s="1">
        <v>341</v>
      </c>
      <c r="Q1058" s="1">
        <v>490</v>
      </c>
      <c r="R1058" s="1">
        <v>1491</v>
      </c>
      <c r="S1058" s="1">
        <v>1937</v>
      </c>
      <c r="T1058" s="1">
        <v>2148</v>
      </c>
      <c r="U1058" s="1">
        <v>2411</v>
      </c>
      <c r="V1058" s="1">
        <v>2729</v>
      </c>
    </row>
    <row r="1059" spans="1:28" x14ac:dyDescent="0.2">
      <c r="B1059" s="1" t="s">
        <v>1062</v>
      </c>
      <c r="O1059" s="1">
        <v>0</v>
      </c>
      <c r="P1059" s="1">
        <v>0</v>
      </c>
      <c r="Q1059" s="1">
        <f>8+38</f>
        <v>46</v>
      </c>
      <c r="R1059" s="1">
        <v>51</v>
      </c>
      <c r="S1059" s="1">
        <v>75</v>
      </c>
      <c r="T1059" s="1">
        <v>54</v>
      </c>
      <c r="U1059" s="1">
        <v>49</v>
      </c>
      <c r="V1059" s="1">
        <f>100-14</f>
        <v>86</v>
      </c>
    </row>
    <row r="1060" spans="1:28" x14ac:dyDescent="0.2">
      <c r="B1060" s="1" t="s">
        <v>1063</v>
      </c>
      <c r="O1060" s="1">
        <v>185</v>
      </c>
      <c r="P1060" s="1">
        <v>315</v>
      </c>
      <c r="Q1060" s="1">
        <v>526</v>
      </c>
      <c r="R1060" s="1">
        <v>1437</v>
      </c>
      <c r="S1060" s="1">
        <v>1978</v>
      </c>
      <c r="T1060" s="1">
        <v>2066</v>
      </c>
      <c r="U1060" s="1">
        <v>2318</v>
      </c>
      <c r="V1060" s="1">
        <v>2985</v>
      </c>
    </row>
    <row r="1061" spans="1:28" x14ac:dyDescent="0.2">
      <c r="B1061" s="1" t="s">
        <v>1064</v>
      </c>
      <c r="O1061" s="1">
        <f t="shared" ref="O1061:V1061" si="220">O1057+O1058+O1059-O1060</f>
        <v>46</v>
      </c>
      <c r="P1061" s="1">
        <f t="shared" si="220"/>
        <v>72</v>
      </c>
      <c r="Q1061" s="1">
        <f t="shared" si="220"/>
        <v>82</v>
      </c>
      <c r="R1061" s="1">
        <f t="shared" si="220"/>
        <v>187</v>
      </c>
      <c r="S1061" s="1">
        <f t="shared" si="220"/>
        <v>221</v>
      </c>
      <c r="T1061" s="1">
        <f t="shared" si="220"/>
        <v>357</v>
      </c>
      <c r="U1061" s="1">
        <f t="shared" si="220"/>
        <v>499</v>
      </c>
      <c r="V1061" s="1">
        <f t="shared" si="220"/>
        <v>329</v>
      </c>
    </row>
    <row r="1062" spans="1:28" x14ac:dyDescent="0.2">
      <c r="B1062" s="1" t="s">
        <v>1065</v>
      </c>
      <c r="V1062" s="1">
        <v>276</v>
      </c>
      <c r="W1062" s="7"/>
      <c r="X1062" s="7"/>
      <c r="Y1062" s="7"/>
      <c r="Z1062" s="7"/>
      <c r="AA1062" s="7"/>
      <c r="AB1062" s="7"/>
    </row>
    <row r="1063" spans="1:28" x14ac:dyDescent="0.2">
      <c r="A1063" s="1" t="s">
        <v>689</v>
      </c>
      <c r="B1063" s="1" t="s">
        <v>1066</v>
      </c>
      <c r="Q1063" s="1">
        <v>0</v>
      </c>
      <c r="R1063" s="1">
        <v>2</v>
      </c>
      <c r="S1063" s="1">
        <v>8</v>
      </c>
      <c r="T1063" s="1">
        <v>18</v>
      </c>
      <c r="U1063" s="1">
        <v>17</v>
      </c>
      <c r="V1063" s="1">
        <v>19</v>
      </c>
    </row>
    <row r="1064" spans="1:28" x14ac:dyDescent="0.2">
      <c r="A1064" s="1" t="s">
        <v>689</v>
      </c>
      <c r="B1064" s="1" t="s">
        <v>1067</v>
      </c>
      <c r="P1064" s="1">
        <v>5</v>
      </c>
      <c r="Q1064" s="1">
        <v>13</v>
      </c>
      <c r="R1064" s="1">
        <v>36</v>
      </c>
      <c r="S1064" s="1">
        <v>49</v>
      </c>
      <c r="T1064" s="1">
        <v>40</v>
      </c>
      <c r="U1064" s="1">
        <v>51</v>
      </c>
      <c r="V1064" s="1">
        <v>58</v>
      </c>
    </row>
    <row r="1065" spans="1:28" x14ac:dyDescent="0.2">
      <c r="A1065" s="1" t="s">
        <v>689</v>
      </c>
      <c r="B1065" s="1" t="s">
        <v>1068</v>
      </c>
      <c r="Q1065" s="1">
        <v>0</v>
      </c>
      <c r="R1065" s="1">
        <v>25</v>
      </c>
      <c r="S1065" s="1">
        <v>114</v>
      </c>
      <c r="T1065" s="1">
        <v>36</v>
      </c>
      <c r="U1065" s="1">
        <v>49</v>
      </c>
      <c r="V1065" s="1">
        <v>49</v>
      </c>
    </row>
    <row r="1066" spans="1:28" x14ac:dyDescent="0.2">
      <c r="A1066" s="1" t="s">
        <v>689</v>
      </c>
      <c r="B1066" s="1" t="s">
        <v>1069</v>
      </c>
      <c r="O1066" s="1">
        <v>83</v>
      </c>
      <c r="P1066" s="1">
        <v>28</v>
      </c>
      <c r="Q1066" s="1">
        <v>47</v>
      </c>
      <c r="R1066" s="1">
        <v>198</v>
      </c>
      <c r="S1066" s="1">
        <v>510</v>
      </c>
      <c r="T1066" s="1">
        <v>381</v>
      </c>
      <c r="U1066" s="1">
        <v>577</v>
      </c>
      <c r="V1066" s="1">
        <v>593</v>
      </c>
    </row>
    <row r="1067" spans="1:28" x14ac:dyDescent="0.2">
      <c r="A1067" s="1" t="s">
        <v>689</v>
      </c>
      <c r="B1067" s="1" t="s">
        <v>1070</v>
      </c>
      <c r="O1067" s="1">
        <v>41</v>
      </c>
      <c r="P1067" s="1">
        <v>25</v>
      </c>
      <c r="Q1067" s="1">
        <v>69</v>
      </c>
      <c r="R1067" s="1">
        <v>378</v>
      </c>
      <c r="S1067" s="1">
        <v>376</v>
      </c>
      <c r="T1067" s="1">
        <v>488</v>
      </c>
      <c r="U1067" s="1">
        <v>492</v>
      </c>
      <c r="V1067" s="1">
        <v>595</v>
      </c>
    </row>
    <row r="1068" spans="1:28" x14ac:dyDescent="0.2">
      <c r="A1068" s="1" t="s">
        <v>689</v>
      </c>
      <c r="B1068" s="1" t="s">
        <v>1071</v>
      </c>
      <c r="O1068" s="1">
        <v>2</v>
      </c>
      <c r="P1068" s="1">
        <v>3</v>
      </c>
      <c r="Q1068" s="1">
        <v>2</v>
      </c>
      <c r="R1068" s="1">
        <v>23</v>
      </c>
      <c r="S1068" s="1">
        <v>29</v>
      </c>
      <c r="T1068" s="1">
        <v>50</v>
      </c>
      <c r="U1068" s="1">
        <v>21</v>
      </c>
      <c r="V1068" s="1">
        <v>48</v>
      </c>
    </row>
    <row r="1069" spans="1:28" x14ac:dyDescent="0.2">
      <c r="A1069" s="1" t="s">
        <v>689</v>
      </c>
      <c r="B1069" s="1" t="s">
        <v>1072</v>
      </c>
      <c r="O1069" s="1">
        <v>40</v>
      </c>
      <c r="P1069" s="1">
        <v>102</v>
      </c>
      <c r="Q1069" s="1">
        <v>179</v>
      </c>
      <c r="R1069" s="1">
        <v>501</v>
      </c>
      <c r="S1069" s="1">
        <v>421</v>
      </c>
      <c r="T1069" s="1">
        <v>528</v>
      </c>
      <c r="U1069" s="1">
        <v>425</v>
      </c>
      <c r="V1069" s="1">
        <v>542</v>
      </c>
    </row>
    <row r="1070" spans="1:28" s="7" customFormat="1" x14ac:dyDescent="0.2">
      <c r="A1070" s="1" t="s">
        <v>689</v>
      </c>
      <c r="B1070" s="1" t="s">
        <v>1073</v>
      </c>
      <c r="C1070" s="1"/>
      <c r="D1070" s="1"/>
      <c r="E1070" s="1"/>
      <c r="F1070" s="1"/>
      <c r="G1070" s="1"/>
      <c r="H1070" s="1"/>
      <c r="I1070" s="1"/>
      <c r="J1070" s="1"/>
      <c r="K1070" s="1"/>
      <c r="L1070" s="1"/>
      <c r="M1070" s="1"/>
      <c r="N1070" s="1"/>
      <c r="O1070" s="1">
        <v>13</v>
      </c>
      <c r="P1070" s="1">
        <v>50</v>
      </c>
      <c r="Q1070" s="1">
        <v>94</v>
      </c>
      <c r="R1070" s="1">
        <v>258</v>
      </c>
      <c r="S1070" s="1">
        <v>460</v>
      </c>
      <c r="T1070" s="1">
        <v>517</v>
      </c>
      <c r="U1070" s="1">
        <v>680</v>
      </c>
      <c r="V1070" s="1">
        <v>1075</v>
      </c>
    </row>
    <row r="1071" spans="1:28" x14ac:dyDescent="0.2">
      <c r="A1071" s="1" t="s">
        <v>689</v>
      </c>
      <c r="B1071" s="1" t="s">
        <v>1074</v>
      </c>
      <c r="P1071" s="1">
        <v>4</v>
      </c>
      <c r="Q1071" s="1">
        <v>1</v>
      </c>
      <c r="R1071" s="1">
        <v>5</v>
      </c>
      <c r="S1071" s="1">
        <v>9</v>
      </c>
      <c r="T1071" s="1">
        <v>8</v>
      </c>
      <c r="U1071" s="1">
        <v>1</v>
      </c>
      <c r="V1071" s="1">
        <v>1</v>
      </c>
    </row>
    <row r="1072" spans="1:28" x14ac:dyDescent="0.2">
      <c r="A1072" s="1" t="s">
        <v>689</v>
      </c>
      <c r="B1072" s="1" t="s">
        <v>1075</v>
      </c>
      <c r="O1072" s="1">
        <v>6</v>
      </c>
      <c r="P1072" s="1">
        <v>98</v>
      </c>
      <c r="Q1072" s="1">
        <v>121</v>
      </c>
      <c r="R1072" s="1">
        <v>11</v>
      </c>
      <c r="S1072" s="1">
        <v>2</v>
      </c>
      <c r="U1072" s="1">
        <v>5</v>
      </c>
      <c r="V1072" s="1">
        <v>5</v>
      </c>
    </row>
    <row r="1073" spans="1:22" x14ac:dyDescent="0.2">
      <c r="A1073" s="1" t="s">
        <v>689</v>
      </c>
      <c r="B1073" s="1" t="s">
        <v>1076</v>
      </c>
      <c r="V1073" s="1">
        <f>SUM(V1074:V1076)</f>
        <v>131</v>
      </c>
    </row>
    <row r="1074" spans="1:22" x14ac:dyDescent="0.2">
      <c r="A1074" s="1" t="s">
        <v>689</v>
      </c>
      <c r="B1074" s="1" t="s">
        <v>1077</v>
      </c>
      <c r="T1074" s="1" t="s">
        <v>1078</v>
      </c>
      <c r="U1074" s="1" t="s">
        <v>1078</v>
      </c>
      <c r="V1074" s="1">
        <v>56</v>
      </c>
    </row>
    <row r="1075" spans="1:22" x14ac:dyDescent="0.2">
      <c r="A1075" s="1" t="s">
        <v>689</v>
      </c>
      <c r="B1075" s="1" t="s">
        <v>1079</v>
      </c>
      <c r="T1075" s="1" t="s">
        <v>1078</v>
      </c>
      <c r="U1075" s="1" t="s">
        <v>1078</v>
      </c>
      <c r="V1075" s="1">
        <v>74</v>
      </c>
    </row>
    <row r="1076" spans="1:22" x14ac:dyDescent="0.2">
      <c r="A1076" s="1" t="s">
        <v>689</v>
      </c>
      <c r="B1076" s="1" t="s">
        <v>1080</v>
      </c>
      <c r="T1076" s="1" t="s">
        <v>1078</v>
      </c>
      <c r="U1076" s="1" t="s">
        <v>1078</v>
      </c>
      <c r="V1076" s="1">
        <v>1</v>
      </c>
    </row>
    <row r="1077" spans="1:22" x14ac:dyDescent="0.2">
      <c r="B1077" s="1" t="s">
        <v>1081</v>
      </c>
      <c r="C1077" s="1">
        <f t="shared" ref="C1077:V1077" si="221">C410/(C410+C344)</f>
        <v>0.37955741763473622</v>
      </c>
      <c r="D1077" s="1">
        <f t="shared" si="221"/>
        <v>0.36847690249555448</v>
      </c>
      <c r="E1077" s="1">
        <f t="shared" si="221"/>
        <v>0.35198031513526568</v>
      </c>
      <c r="F1077" s="1">
        <f t="shared" si="221"/>
        <v>0.37196774116700038</v>
      </c>
      <c r="G1077" s="1">
        <f t="shared" si="221"/>
        <v>0.34984727982791131</v>
      </c>
      <c r="H1077" s="1">
        <f t="shared" si="221"/>
        <v>0.45793734858807233</v>
      </c>
      <c r="I1077" s="1">
        <f t="shared" si="221"/>
        <v>0.46603483860038425</v>
      </c>
      <c r="J1077" s="1">
        <f t="shared" si="221"/>
        <v>0.45963159112446478</v>
      </c>
      <c r="K1077" s="1">
        <f t="shared" si="221"/>
        <v>0.46839250631437113</v>
      </c>
      <c r="L1077" s="1">
        <f t="shared" si="221"/>
        <v>0.48631719422289055</v>
      </c>
      <c r="M1077" s="1">
        <f t="shared" si="221"/>
        <v>0.56275026501678393</v>
      </c>
      <c r="N1077" s="1">
        <f t="shared" si="221"/>
        <v>0.53187523854809848</v>
      </c>
      <c r="O1077" s="1">
        <f t="shared" si="221"/>
        <v>0.57504222053623488</v>
      </c>
      <c r="P1077" s="1">
        <f t="shared" si="221"/>
        <v>0.58346632138268772</v>
      </c>
      <c r="Q1077" s="1">
        <f t="shared" si="221"/>
        <v>0.58318155929149496</v>
      </c>
      <c r="R1077" s="1">
        <f t="shared" si="221"/>
        <v>0.5779417232740206</v>
      </c>
      <c r="S1077" s="1">
        <f t="shared" si="221"/>
        <v>0.57224543465348043</v>
      </c>
      <c r="T1077" s="1">
        <f t="shared" si="221"/>
        <v>0.60801395011488413</v>
      </c>
      <c r="U1077" s="1">
        <f t="shared" si="221"/>
        <v>0.63473826090453422</v>
      </c>
      <c r="V1077" s="1">
        <f t="shared" si="221"/>
        <v>0.6221383806285854</v>
      </c>
    </row>
    <row r="1078" spans="1:22" x14ac:dyDescent="0.2">
      <c r="B1078" s="1" t="s">
        <v>1082</v>
      </c>
      <c r="C1078" s="1">
        <f t="shared" ref="C1078:V1078" si="222">(C215+C269+C319+C322-C344-C394)/C410</f>
        <v>0.2851339851966026</v>
      </c>
      <c r="D1078" s="1">
        <f t="shared" si="222"/>
        <v>0.32172378373330845</v>
      </c>
      <c r="E1078" s="1">
        <f t="shared" si="222"/>
        <v>0.30032590850057583</v>
      </c>
      <c r="F1078" s="1">
        <f t="shared" si="222"/>
        <v>0.28031348754898244</v>
      </c>
      <c r="G1078" s="1">
        <f t="shared" si="222"/>
        <v>0.28638463345251453</v>
      </c>
      <c r="H1078" s="1">
        <f t="shared" si="222"/>
        <v>0.30359934615617468</v>
      </c>
      <c r="I1078" s="1">
        <f t="shared" si="222"/>
        <v>0.31761758915685634</v>
      </c>
      <c r="J1078" s="1">
        <f t="shared" si="222"/>
        <v>0.35790997948594183</v>
      </c>
      <c r="K1078" s="1">
        <f t="shared" si="222"/>
        <v>0.39894839766627166</v>
      </c>
      <c r="L1078" s="1">
        <f t="shared" si="222"/>
        <v>0.51238192778461178</v>
      </c>
      <c r="M1078" s="1">
        <f t="shared" si="222"/>
        <v>0.43166395421322812</v>
      </c>
      <c r="N1078" s="1">
        <f t="shared" si="222"/>
        <v>0.28514555209396175</v>
      </c>
      <c r="O1078" s="1">
        <f t="shared" si="222"/>
        <v>0.25512971412243229</v>
      </c>
      <c r="P1078" s="1">
        <f t="shared" si="222"/>
        <v>0.25624970629952748</v>
      </c>
      <c r="Q1078" s="1">
        <f t="shared" si="222"/>
        <v>0.22578126595628142</v>
      </c>
      <c r="R1078" s="1">
        <f t="shared" si="222"/>
        <v>0.21367816408153051</v>
      </c>
      <c r="S1078" s="1">
        <f t="shared" si="222"/>
        <v>0.15982430318789817</v>
      </c>
      <c r="T1078" s="1">
        <f t="shared" si="222"/>
        <v>0.23004396042834563</v>
      </c>
      <c r="U1078" s="1">
        <f t="shared" si="222"/>
        <v>0.24927389938808228</v>
      </c>
      <c r="V1078" s="1">
        <f t="shared" si="222"/>
        <v>0.20947793733116155</v>
      </c>
    </row>
    <row r="1079" spans="1:22" x14ac:dyDescent="0.2">
      <c r="B1079" s="1" t="s">
        <v>1083</v>
      </c>
      <c r="C1079" s="1">
        <f t="shared" ref="C1079:V1079" si="223">C344/(C344+C410)</f>
        <v>0.62044258236526373</v>
      </c>
      <c r="D1079" s="1">
        <f t="shared" si="223"/>
        <v>0.63152309750444557</v>
      </c>
      <c r="E1079" s="1">
        <f t="shared" si="223"/>
        <v>0.64801968486473427</v>
      </c>
      <c r="F1079" s="1">
        <f t="shared" si="223"/>
        <v>0.62803225883299962</v>
      </c>
      <c r="G1079" s="1">
        <f t="shared" si="223"/>
        <v>0.65015272017208869</v>
      </c>
      <c r="H1079" s="1">
        <f t="shared" si="223"/>
        <v>0.54206265141192767</v>
      </c>
      <c r="I1079" s="1">
        <f t="shared" si="223"/>
        <v>0.5339651613996157</v>
      </c>
      <c r="J1079" s="1">
        <f t="shared" si="223"/>
        <v>0.54036840887553528</v>
      </c>
      <c r="K1079" s="1">
        <f t="shared" si="223"/>
        <v>0.53160749368562887</v>
      </c>
      <c r="L1079" s="1">
        <f t="shared" si="223"/>
        <v>0.51368280577710945</v>
      </c>
      <c r="M1079" s="1">
        <f t="shared" si="223"/>
        <v>0.43724973498321612</v>
      </c>
      <c r="N1079" s="1">
        <f t="shared" si="223"/>
        <v>0.46812476145190146</v>
      </c>
      <c r="O1079" s="1">
        <f t="shared" si="223"/>
        <v>0.42495777946376506</v>
      </c>
      <c r="P1079" s="1">
        <f t="shared" si="223"/>
        <v>0.41653367861731222</v>
      </c>
      <c r="Q1079" s="1">
        <f t="shared" si="223"/>
        <v>0.41681844070850504</v>
      </c>
      <c r="R1079" s="1">
        <f t="shared" si="223"/>
        <v>0.4220582767259794</v>
      </c>
      <c r="S1079" s="1">
        <f t="shared" si="223"/>
        <v>0.42775456534651957</v>
      </c>
      <c r="T1079" s="1">
        <f t="shared" si="223"/>
        <v>0.39198604988511582</v>
      </c>
      <c r="U1079" s="1">
        <f t="shared" si="223"/>
        <v>0.36526173909546578</v>
      </c>
      <c r="V1079" s="1">
        <f t="shared" si="223"/>
        <v>0.3778616193714146</v>
      </c>
    </row>
    <row r="1080" spans="1:22" s="7" customFormat="1" x14ac:dyDescent="0.2">
      <c r="A1080" s="1" t="s">
        <v>1084</v>
      </c>
      <c r="B1080" s="1" t="s">
        <v>1085</v>
      </c>
      <c r="C1080" s="1">
        <f>SUM(C1081:C1091)</f>
        <v>492604</v>
      </c>
      <c r="D1080" s="1">
        <f t="shared" ref="D1080:V1080" si="224">SUM(D1081:D1091)</f>
        <v>571903</v>
      </c>
      <c r="E1080" s="1">
        <f t="shared" si="224"/>
        <v>661233</v>
      </c>
      <c r="F1080" s="1">
        <f t="shared" si="224"/>
        <v>588207</v>
      </c>
      <c r="G1080" s="1">
        <f t="shared" si="224"/>
        <v>601287</v>
      </c>
      <c r="H1080" s="1">
        <f t="shared" si="224"/>
        <v>213541</v>
      </c>
      <c r="I1080" s="1">
        <f t="shared" si="224"/>
        <v>171586</v>
      </c>
      <c r="J1080" s="1">
        <f t="shared" si="224"/>
        <v>168037</v>
      </c>
      <c r="K1080" s="1">
        <f t="shared" si="224"/>
        <v>167541</v>
      </c>
      <c r="L1080" s="1">
        <f t="shared" si="224"/>
        <v>170518</v>
      </c>
      <c r="M1080" s="1">
        <f t="shared" si="224"/>
        <v>170779</v>
      </c>
      <c r="N1080" s="1">
        <f t="shared" si="224"/>
        <v>154089</v>
      </c>
      <c r="O1080" s="1">
        <f t="shared" si="224"/>
        <v>141232</v>
      </c>
      <c r="P1080" s="1">
        <f t="shared" si="224"/>
        <v>174674</v>
      </c>
      <c r="Q1080" s="1">
        <f t="shared" si="224"/>
        <v>175539</v>
      </c>
      <c r="R1080" s="1">
        <f t="shared" si="224"/>
        <v>189909</v>
      </c>
      <c r="S1080" s="1">
        <f t="shared" si="224"/>
        <v>147911</v>
      </c>
      <c r="T1080" s="1">
        <f t="shared" si="224"/>
        <v>197036</v>
      </c>
      <c r="U1080" s="1">
        <f t="shared" si="224"/>
        <v>183825</v>
      </c>
      <c r="V1080" s="1">
        <f t="shared" si="224"/>
        <v>189004</v>
      </c>
    </row>
    <row r="1081" spans="1:22" x14ac:dyDescent="0.2">
      <c r="A1081" s="1" t="s">
        <v>1084</v>
      </c>
      <c r="B1081" s="1" t="s">
        <v>1086</v>
      </c>
      <c r="C1081" s="1">
        <v>9686</v>
      </c>
      <c r="D1081" s="1">
        <v>9530</v>
      </c>
      <c r="E1081" s="1">
        <v>8928</v>
      </c>
      <c r="F1081" s="1">
        <v>10365</v>
      </c>
      <c r="G1081" s="1">
        <v>9667</v>
      </c>
      <c r="H1081" s="1">
        <v>9354</v>
      </c>
      <c r="I1081" s="1">
        <v>8629</v>
      </c>
      <c r="J1081" s="1">
        <v>9004</v>
      </c>
      <c r="K1081" s="1">
        <v>7858</v>
      </c>
      <c r="L1081" s="1">
        <v>7271</v>
      </c>
      <c r="M1081" s="1">
        <v>6949</v>
      </c>
      <c r="N1081" s="1">
        <v>6204</v>
      </c>
      <c r="O1081" s="1">
        <v>5649</v>
      </c>
      <c r="P1081" s="1">
        <v>4931</v>
      </c>
      <c r="Q1081" s="1">
        <v>4418</v>
      </c>
      <c r="R1081" s="1">
        <v>2467</v>
      </c>
      <c r="S1081" s="1">
        <v>2604</v>
      </c>
      <c r="T1081" s="1">
        <v>2556</v>
      </c>
      <c r="U1081" s="1">
        <v>3576</v>
      </c>
      <c r="V1081" s="1">
        <v>3696</v>
      </c>
    </row>
    <row r="1082" spans="1:22" x14ac:dyDescent="0.2">
      <c r="A1082" s="1" t="s">
        <v>1084</v>
      </c>
      <c r="B1082" s="1" t="s">
        <v>1087</v>
      </c>
      <c r="O1082" s="1">
        <v>306</v>
      </c>
      <c r="P1082" s="1">
        <v>332</v>
      </c>
      <c r="Q1082" s="1">
        <v>448</v>
      </c>
      <c r="R1082" s="1">
        <v>878</v>
      </c>
      <c r="S1082" s="1">
        <v>954</v>
      </c>
      <c r="T1082" s="1">
        <v>1163</v>
      </c>
      <c r="U1082" s="1">
        <v>3635</v>
      </c>
      <c r="V1082" s="1">
        <v>2838</v>
      </c>
    </row>
    <row r="1083" spans="1:22" x14ac:dyDescent="0.2">
      <c r="A1083" s="1" t="s">
        <v>1084</v>
      </c>
      <c r="B1083" s="1" t="s">
        <v>1088</v>
      </c>
      <c r="C1083" s="1">
        <v>0</v>
      </c>
      <c r="D1083" s="1">
        <v>654</v>
      </c>
      <c r="E1083" s="1">
        <v>707</v>
      </c>
      <c r="F1083" s="1">
        <v>914</v>
      </c>
      <c r="G1083" s="1">
        <v>881</v>
      </c>
      <c r="H1083" s="1">
        <v>1010</v>
      </c>
      <c r="I1083" s="1">
        <v>1054</v>
      </c>
      <c r="J1083" s="1">
        <v>1336</v>
      </c>
      <c r="K1083" s="1">
        <v>1120</v>
      </c>
      <c r="L1083" s="1">
        <v>1475</v>
      </c>
      <c r="M1083" s="1">
        <v>1641</v>
      </c>
      <c r="N1083" s="1">
        <v>1861</v>
      </c>
      <c r="O1083" s="1">
        <v>1978</v>
      </c>
      <c r="P1083" s="1">
        <v>1870</v>
      </c>
      <c r="Q1083" s="1">
        <v>1837</v>
      </c>
      <c r="R1083" s="1">
        <v>1947</v>
      </c>
      <c r="S1083" s="1">
        <v>1724</v>
      </c>
      <c r="T1083" s="1">
        <v>1712</v>
      </c>
      <c r="U1083" s="1">
        <v>1753</v>
      </c>
      <c r="V1083" s="1">
        <v>2105</v>
      </c>
    </row>
    <row r="1084" spans="1:22" x14ac:dyDescent="0.2">
      <c r="A1084" s="1" t="s">
        <v>1084</v>
      </c>
      <c r="B1084" s="1" t="s">
        <v>1089</v>
      </c>
      <c r="C1084" s="1">
        <v>6745</v>
      </c>
      <c r="D1084" s="1">
        <v>7227</v>
      </c>
      <c r="E1084" s="1">
        <v>8753</v>
      </c>
      <c r="F1084" s="1">
        <v>9270</v>
      </c>
      <c r="G1084" s="1">
        <v>10823</v>
      </c>
      <c r="H1084" s="1">
        <v>10668</v>
      </c>
      <c r="I1084" s="1">
        <v>10171</v>
      </c>
      <c r="J1084" s="1">
        <v>10578</v>
      </c>
      <c r="K1084" s="1">
        <v>10107</v>
      </c>
      <c r="L1084" s="1">
        <v>10013</v>
      </c>
      <c r="M1084" s="1">
        <v>10187</v>
      </c>
      <c r="N1084" s="1">
        <v>10498</v>
      </c>
      <c r="O1084" s="1">
        <v>9319</v>
      </c>
      <c r="P1084" s="1">
        <v>13068</v>
      </c>
      <c r="Q1084" s="1">
        <v>13623</v>
      </c>
      <c r="R1084" s="1">
        <v>14280</v>
      </c>
      <c r="S1084" s="1">
        <v>13658</v>
      </c>
      <c r="T1084" s="1">
        <v>12333</v>
      </c>
      <c r="U1084" s="1">
        <v>9762</v>
      </c>
      <c r="V1084" s="1">
        <v>12661</v>
      </c>
    </row>
    <row r="1085" spans="1:22" x14ac:dyDescent="0.2">
      <c r="A1085" s="1" t="s">
        <v>1084</v>
      </c>
      <c r="B1085" s="1" t="s">
        <v>1090</v>
      </c>
      <c r="C1085" s="1">
        <v>2706</v>
      </c>
      <c r="D1085" s="1">
        <v>2761</v>
      </c>
      <c r="E1085" s="1">
        <v>2008</v>
      </c>
      <c r="F1085" s="1">
        <v>2589</v>
      </c>
      <c r="G1085" s="1">
        <v>3362</v>
      </c>
      <c r="H1085" s="1">
        <v>3292</v>
      </c>
      <c r="I1085" s="1">
        <v>2649</v>
      </c>
      <c r="J1085" s="1">
        <v>2254</v>
      </c>
      <c r="K1085" s="1">
        <v>6358</v>
      </c>
      <c r="L1085" s="1">
        <v>6518</v>
      </c>
      <c r="M1085" s="1">
        <v>5954</v>
      </c>
      <c r="N1085" s="1">
        <v>7650</v>
      </c>
      <c r="O1085" s="1">
        <v>9581</v>
      </c>
      <c r="P1085" s="1">
        <v>7488</v>
      </c>
      <c r="Q1085" s="1">
        <v>6252</v>
      </c>
      <c r="R1085" s="1">
        <v>9717</v>
      </c>
      <c r="S1085" s="1">
        <v>14305</v>
      </c>
      <c r="T1085" s="1">
        <v>13335</v>
      </c>
      <c r="U1085" s="1">
        <v>13164</v>
      </c>
      <c r="V1085" s="1">
        <v>13849</v>
      </c>
    </row>
    <row r="1086" spans="1:22" x14ac:dyDescent="0.2">
      <c r="A1086" s="1" t="s">
        <v>1084</v>
      </c>
      <c r="B1086" s="1" t="s">
        <v>1091</v>
      </c>
      <c r="C1086" s="1">
        <v>14039</v>
      </c>
      <c r="D1086" s="1">
        <v>17513</v>
      </c>
      <c r="E1086" s="1">
        <v>12080</v>
      </c>
      <c r="F1086" s="1">
        <v>11307</v>
      </c>
      <c r="G1086" s="1">
        <v>11985</v>
      </c>
      <c r="H1086" s="1">
        <v>12939</v>
      </c>
      <c r="I1086" s="1">
        <v>13979</v>
      </c>
      <c r="J1086" s="1">
        <v>13398</v>
      </c>
      <c r="K1086" s="1">
        <v>14439</v>
      </c>
      <c r="L1086" s="1">
        <v>16384</v>
      </c>
      <c r="M1086" s="1">
        <v>16609</v>
      </c>
      <c r="N1086" s="1">
        <v>16737</v>
      </c>
      <c r="O1086" s="1">
        <v>17765</v>
      </c>
      <c r="P1086" s="1">
        <v>20414</v>
      </c>
      <c r="Q1086" s="1">
        <v>21533</v>
      </c>
      <c r="R1086" s="1">
        <v>20964</v>
      </c>
      <c r="S1086" s="1">
        <v>22711</v>
      </c>
      <c r="T1086" s="1">
        <v>24296</v>
      </c>
      <c r="U1086" s="1">
        <v>19927</v>
      </c>
      <c r="V1086" s="1">
        <v>23254</v>
      </c>
    </row>
    <row r="1087" spans="1:22" x14ac:dyDescent="0.2">
      <c r="A1087" s="1" t="s">
        <v>1084</v>
      </c>
      <c r="B1087" s="1" t="s">
        <v>1092</v>
      </c>
      <c r="C1087" s="1">
        <f t="shared" ref="C1087:T1087" si="225">C650+C675</f>
        <v>15140</v>
      </c>
      <c r="D1087" s="1">
        <f t="shared" si="225"/>
        <v>15486</v>
      </c>
      <c r="E1087" s="1">
        <f t="shared" si="225"/>
        <v>14316</v>
      </c>
      <c r="F1087" s="1">
        <f t="shared" si="225"/>
        <v>13086</v>
      </c>
      <c r="G1087" s="1">
        <f t="shared" si="225"/>
        <v>14871</v>
      </c>
      <c r="H1087" s="1">
        <f t="shared" si="225"/>
        <v>13914</v>
      </c>
      <c r="I1087" s="1">
        <f t="shared" si="225"/>
        <v>13659</v>
      </c>
      <c r="J1087" s="1">
        <f t="shared" si="225"/>
        <v>13031</v>
      </c>
      <c r="K1087" s="1">
        <f t="shared" si="225"/>
        <v>14332</v>
      </c>
      <c r="L1087" s="1">
        <f t="shared" si="225"/>
        <v>14814</v>
      </c>
      <c r="M1087" s="1">
        <f t="shared" si="225"/>
        <v>14294</v>
      </c>
      <c r="N1087" s="1">
        <f t="shared" si="225"/>
        <v>13696</v>
      </c>
      <c r="O1087" s="1">
        <f t="shared" si="225"/>
        <v>13925</v>
      </c>
      <c r="P1087" s="1">
        <f t="shared" si="225"/>
        <v>14973</v>
      </c>
      <c r="Q1087" s="1">
        <f t="shared" si="225"/>
        <v>13644</v>
      </c>
      <c r="R1087" s="1">
        <f t="shared" si="225"/>
        <v>13213</v>
      </c>
      <c r="S1087" s="1">
        <f t="shared" si="225"/>
        <v>12488</v>
      </c>
      <c r="T1087" s="1">
        <f t="shared" si="225"/>
        <v>10971</v>
      </c>
      <c r="U1087" s="1">
        <v>6077</v>
      </c>
      <c r="V1087" s="1">
        <v>12947</v>
      </c>
    </row>
    <row r="1088" spans="1:22" x14ac:dyDescent="0.2">
      <c r="A1088" s="1" t="s">
        <v>1084</v>
      </c>
      <c r="B1088" s="1" t="s">
        <v>1093</v>
      </c>
      <c r="C1088" s="1">
        <f t="shared" ref="C1088:R1088" si="226">C651+C676</f>
        <v>405995</v>
      </c>
      <c r="D1088" s="1">
        <f t="shared" si="226"/>
        <v>472390</v>
      </c>
      <c r="E1088" s="1">
        <f t="shared" si="226"/>
        <v>558476</v>
      </c>
      <c r="F1088" s="1">
        <f t="shared" si="226"/>
        <v>482606</v>
      </c>
      <c r="G1088" s="1">
        <f t="shared" si="226"/>
        <v>490208</v>
      </c>
      <c r="H1088" s="1">
        <f t="shared" si="226"/>
        <v>104426</v>
      </c>
      <c r="I1088" s="1">
        <f t="shared" si="226"/>
        <v>67402</v>
      </c>
      <c r="J1088" s="1">
        <f t="shared" si="226"/>
        <v>63220</v>
      </c>
      <c r="K1088" s="1">
        <f t="shared" si="226"/>
        <v>60067</v>
      </c>
      <c r="L1088" s="1">
        <f t="shared" si="226"/>
        <v>59576</v>
      </c>
      <c r="M1088" s="1">
        <f t="shared" si="226"/>
        <v>55604</v>
      </c>
      <c r="N1088" s="1">
        <f t="shared" si="226"/>
        <v>43970</v>
      </c>
      <c r="O1088" s="1">
        <f t="shared" si="226"/>
        <v>43280</v>
      </c>
      <c r="P1088" s="1">
        <f t="shared" si="226"/>
        <v>47293</v>
      </c>
      <c r="Q1088" s="1">
        <f t="shared" si="226"/>
        <v>53792</v>
      </c>
      <c r="R1088" s="1">
        <f t="shared" si="226"/>
        <v>56092</v>
      </c>
      <c r="S1088" s="1">
        <v>49746</v>
      </c>
      <c r="T1088" s="1">
        <f>T651+T676</f>
        <v>61210</v>
      </c>
      <c r="U1088" s="1">
        <v>46500</v>
      </c>
      <c r="V1088" s="1">
        <v>51955</v>
      </c>
    </row>
    <row r="1089" spans="1:23" x14ac:dyDescent="0.2">
      <c r="A1089" s="1" t="s">
        <v>1084</v>
      </c>
      <c r="B1089" s="1" t="s">
        <v>1094</v>
      </c>
      <c r="C1089" s="1">
        <v>16099</v>
      </c>
      <c r="D1089" s="1">
        <v>16795</v>
      </c>
      <c r="E1089" s="1">
        <v>19386</v>
      </c>
      <c r="F1089" s="1">
        <v>20863</v>
      </c>
      <c r="G1089" s="1">
        <v>22381</v>
      </c>
      <c r="H1089" s="1">
        <v>23643</v>
      </c>
      <c r="I1089" s="1">
        <v>20910</v>
      </c>
      <c r="J1089" s="1">
        <v>21148</v>
      </c>
      <c r="K1089" s="1">
        <v>20796</v>
      </c>
      <c r="L1089" s="1">
        <v>20621</v>
      </c>
      <c r="M1089" s="1">
        <v>22992</v>
      </c>
      <c r="N1089" s="1">
        <v>24692</v>
      </c>
      <c r="O1089" s="1">
        <v>24743</v>
      </c>
      <c r="P1089" s="1">
        <v>28339</v>
      </c>
      <c r="Q1089" s="1">
        <v>23858</v>
      </c>
      <c r="R1089" s="1">
        <v>31664</v>
      </c>
      <c r="S1089" s="1">
        <v>29120</v>
      </c>
      <c r="T1089" s="1">
        <v>25892</v>
      </c>
      <c r="U1089" s="1">
        <v>19122</v>
      </c>
      <c r="V1089" s="1">
        <v>24077</v>
      </c>
    </row>
    <row r="1090" spans="1:23" x14ac:dyDescent="0.2">
      <c r="A1090" s="1" t="s">
        <v>1084</v>
      </c>
      <c r="B1090" s="1" t="s">
        <v>1095</v>
      </c>
      <c r="C1090" s="1">
        <f t="shared" ref="C1090:R1090" si="227">C653</f>
        <v>22194</v>
      </c>
      <c r="D1090" s="1">
        <f t="shared" si="227"/>
        <v>29547</v>
      </c>
      <c r="E1090" s="1">
        <f t="shared" si="227"/>
        <v>36579</v>
      </c>
      <c r="F1090" s="1">
        <f t="shared" si="227"/>
        <v>37207</v>
      </c>
      <c r="G1090" s="1">
        <f t="shared" si="227"/>
        <v>37109</v>
      </c>
      <c r="H1090" s="1">
        <f t="shared" si="227"/>
        <v>34295</v>
      </c>
      <c r="I1090" s="1">
        <f t="shared" si="227"/>
        <v>33133</v>
      </c>
      <c r="J1090" s="1">
        <f t="shared" si="227"/>
        <v>34068</v>
      </c>
      <c r="K1090" s="1">
        <f t="shared" si="227"/>
        <v>32464</v>
      </c>
      <c r="L1090" s="1">
        <f t="shared" si="227"/>
        <v>33846</v>
      </c>
      <c r="M1090" s="1">
        <f t="shared" si="227"/>
        <v>36549</v>
      </c>
      <c r="N1090" s="1">
        <f t="shared" si="227"/>
        <v>28781</v>
      </c>
      <c r="O1090" s="1">
        <f t="shared" si="227"/>
        <v>14686</v>
      </c>
      <c r="P1090" s="1">
        <f t="shared" si="227"/>
        <v>35229</v>
      </c>
      <c r="Q1090" s="1">
        <f t="shared" si="227"/>
        <v>35525</v>
      </c>
      <c r="R1090" s="1">
        <f t="shared" si="227"/>
        <v>38258</v>
      </c>
      <c r="T1090" s="1">
        <v>43030</v>
      </c>
      <c r="U1090" s="1">
        <v>59387</v>
      </c>
      <c r="V1090" s="1">
        <v>40722</v>
      </c>
    </row>
    <row r="1091" spans="1:23" x14ac:dyDescent="0.2">
      <c r="A1091" s="1" t="s">
        <v>1084</v>
      </c>
      <c r="B1091" s="1" t="s">
        <v>1096</v>
      </c>
      <c r="P1091" s="1">
        <v>737</v>
      </c>
      <c r="Q1091" s="1">
        <v>609</v>
      </c>
      <c r="R1091" s="1">
        <v>429</v>
      </c>
      <c r="S1091" s="1">
        <v>601</v>
      </c>
      <c r="T1091" s="1">
        <v>538</v>
      </c>
      <c r="U1091" s="1">
        <v>922</v>
      </c>
      <c r="V1091" s="1">
        <v>900</v>
      </c>
    </row>
    <row r="1092" spans="1:23" s="7" customFormat="1" x14ac:dyDescent="0.2">
      <c r="A1092" s="1" t="s">
        <v>1084</v>
      </c>
      <c r="B1092" s="1" t="s">
        <v>1097</v>
      </c>
      <c r="C1092" s="1">
        <f>C1093</f>
        <v>5863</v>
      </c>
      <c r="D1092" s="1">
        <f t="shared" ref="D1092:V1092" si="228">D1093</f>
        <v>6971</v>
      </c>
      <c r="E1092" s="1">
        <f t="shared" si="228"/>
        <v>6449</v>
      </c>
      <c r="F1092" s="1">
        <f t="shared" si="228"/>
        <v>9633</v>
      </c>
      <c r="G1092" s="1">
        <f t="shared" si="228"/>
        <v>7331</v>
      </c>
      <c r="H1092" s="1">
        <f t="shared" si="228"/>
        <v>8960</v>
      </c>
      <c r="I1092" s="1">
        <f t="shared" si="228"/>
        <v>9631</v>
      </c>
      <c r="J1092" s="1">
        <f t="shared" si="228"/>
        <v>10375</v>
      </c>
      <c r="K1092" s="1">
        <f t="shared" si="228"/>
        <v>8522</v>
      </c>
      <c r="L1092" s="1">
        <f t="shared" si="228"/>
        <v>9455</v>
      </c>
      <c r="M1092" s="1">
        <f t="shared" si="228"/>
        <v>10491</v>
      </c>
      <c r="N1092" s="1">
        <f t="shared" si="228"/>
        <v>8299</v>
      </c>
      <c r="O1092" s="1">
        <f t="shared" si="228"/>
        <v>8901</v>
      </c>
      <c r="P1092" s="1">
        <f t="shared" si="228"/>
        <v>8221</v>
      </c>
      <c r="Q1092" s="1">
        <f t="shared" si="228"/>
        <v>10238</v>
      </c>
      <c r="R1092" s="1">
        <f t="shared" si="228"/>
        <v>10116</v>
      </c>
      <c r="S1092" s="1">
        <f t="shared" si="228"/>
        <v>9736</v>
      </c>
      <c r="T1092" s="1">
        <f t="shared" si="228"/>
        <v>11408</v>
      </c>
      <c r="U1092" s="1">
        <f t="shared" si="228"/>
        <v>12265</v>
      </c>
      <c r="V1092" s="1">
        <f t="shared" si="228"/>
        <v>13840</v>
      </c>
    </row>
    <row r="1093" spans="1:23" x14ac:dyDescent="0.2">
      <c r="A1093" s="1" t="s">
        <v>1084</v>
      </c>
      <c r="B1093" s="1" t="s">
        <v>1098</v>
      </c>
      <c r="C1093" s="1">
        <v>5863</v>
      </c>
      <c r="D1093" s="1">
        <v>6971</v>
      </c>
      <c r="E1093" s="1">
        <v>6449</v>
      </c>
      <c r="F1093" s="1">
        <v>9633</v>
      </c>
      <c r="G1093" s="1">
        <v>7331</v>
      </c>
      <c r="H1093" s="1">
        <v>8960</v>
      </c>
      <c r="I1093" s="1">
        <v>9631</v>
      </c>
      <c r="J1093" s="1">
        <v>10375</v>
      </c>
      <c r="K1093" s="1">
        <v>8522</v>
      </c>
      <c r="L1093" s="1">
        <v>9455</v>
      </c>
      <c r="M1093" s="1">
        <v>10491</v>
      </c>
      <c r="N1093" s="1">
        <v>8299</v>
      </c>
      <c r="O1093" s="1">
        <v>8901</v>
      </c>
      <c r="P1093" s="1">
        <v>8221</v>
      </c>
      <c r="Q1093" s="1">
        <v>10238</v>
      </c>
      <c r="R1093" s="1">
        <v>10116</v>
      </c>
      <c r="S1093" s="1">
        <v>9736</v>
      </c>
      <c r="T1093" s="1">
        <v>11408</v>
      </c>
      <c r="U1093" s="1">
        <v>12265</v>
      </c>
      <c r="V1093" s="1">
        <v>13840</v>
      </c>
      <c r="W1093" s="7"/>
    </row>
    <row r="1094" spans="1:23" s="7" customFormat="1" x14ac:dyDescent="0.2">
      <c r="A1094" s="1" t="s">
        <v>1084</v>
      </c>
      <c r="B1094" s="1" t="s">
        <v>1099</v>
      </c>
      <c r="C1094" s="1">
        <f t="shared" ref="C1094:V1094" si="229">SUM(C1095:C1105)</f>
        <v>12879</v>
      </c>
      <c r="D1094" s="1">
        <f t="shared" si="229"/>
        <v>13144</v>
      </c>
      <c r="E1094" s="1">
        <f t="shared" si="229"/>
        <v>10994</v>
      </c>
      <c r="F1094" s="1">
        <f t="shared" si="229"/>
        <v>15252</v>
      </c>
      <c r="G1094" s="1">
        <f t="shared" si="229"/>
        <v>15074</v>
      </c>
      <c r="H1094" s="1">
        <f t="shared" si="229"/>
        <v>12609</v>
      </c>
      <c r="I1094" s="1">
        <f t="shared" si="229"/>
        <v>14486</v>
      </c>
      <c r="J1094" s="1">
        <f t="shared" si="229"/>
        <v>12797</v>
      </c>
      <c r="K1094" s="1">
        <f t="shared" si="229"/>
        <v>12670</v>
      </c>
      <c r="L1094" s="1">
        <f t="shared" si="229"/>
        <v>13206</v>
      </c>
      <c r="M1094" s="1">
        <f t="shared" si="229"/>
        <v>11455</v>
      </c>
      <c r="N1094" s="1">
        <f t="shared" si="229"/>
        <v>9739</v>
      </c>
      <c r="O1094" s="1">
        <f t="shared" si="229"/>
        <v>12416</v>
      </c>
      <c r="P1094" s="1">
        <f t="shared" si="229"/>
        <v>13451</v>
      </c>
      <c r="Q1094" s="1">
        <f t="shared" si="229"/>
        <v>13419</v>
      </c>
      <c r="R1094" s="1">
        <f t="shared" si="229"/>
        <v>13244</v>
      </c>
      <c r="S1094" s="1">
        <f t="shared" si="229"/>
        <v>13791</v>
      </c>
      <c r="T1094" s="1">
        <f t="shared" si="229"/>
        <v>15414</v>
      </c>
      <c r="U1094" s="1">
        <f t="shared" si="229"/>
        <v>15397</v>
      </c>
      <c r="V1094" s="1">
        <f t="shared" si="229"/>
        <v>14703</v>
      </c>
    </row>
    <row r="1095" spans="1:23" x14ac:dyDescent="0.2">
      <c r="A1095" s="1" t="s">
        <v>1084</v>
      </c>
      <c r="B1095" s="1" t="s">
        <v>1100</v>
      </c>
      <c r="C1095" s="1">
        <v>0</v>
      </c>
      <c r="D1095" s="1">
        <v>0</v>
      </c>
      <c r="E1095" s="1">
        <v>0</v>
      </c>
      <c r="F1095" s="1">
        <v>0</v>
      </c>
      <c r="G1095" s="1">
        <v>0</v>
      </c>
      <c r="H1095" s="1">
        <v>0</v>
      </c>
      <c r="I1095" s="1">
        <v>0</v>
      </c>
      <c r="J1095" s="1">
        <v>0</v>
      </c>
      <c r="K1095" s="1">
        <v>0</v>
      </c>
      <c r="L1095" s="1">
        <v>0</v>
      </c>
      <c r="M1095" s="1">
        <v>0</v>
      </c>
      <c r="N1095" s="1">
        <v>0</v>
      </c>
      <c r="O1095" s="1">
        <v>1738</v>
      </c>
      <c r="P1095" s="1">
        <v>3055</v>
      </c>
      <c r="Q1095" s="1">
        <v>2915</v>
      </c>
      <c r="R1095" s="1">
        <v>2533</v>
      </c>
      <c r="S1095" s="1">
        <v>2656</v>
      </c>
      <c r="T1095" s="1">
        <v>2336</v>
      </c>
      <c r="U1095" s="1">
        <v>2683</v>
      </c>
      <c r="V1095" s="1">
        <v>3061</v>
      </c>
      <c r="W1095" s="7"/>
    </row>
    <row r="1096" spans="1:23" x14ac:dyDescent="0.2">
      <c r="A1096" s="1" t="s">
        <v>1084</v>
      </c>
      <c r="B1096" s="1" t="s">
        <v>1101</v>
      </c>
      <c r="O1096" s="1">
        <v>311</v>
      </c>
      <c r="P1096" s="1">
        <v>302</v>
      </c>
      <c r="Q1096" s="1">
        <v>489</v>
      </c>
      <c r="R1096" s="1">
        <v>385</v>
      </c>
      <c r="S1096" s="1">
        <v>411</v>
      </c>
      <c r="T1096" s="1">
        <v>335</v>
      </c>
      <c r="U1096" s="1">
        <v>280</v>
      </c>
      <c r="V1096" s="1">
        <v>314</v>
      </c>
      <c r="W1096" s="7"/>
    </row>
    <row r="1097" spans="1:23" x14ac:dyDescent="0.2">
      <c r="A1097" s="1" t="s">
        <v>1084</v>
      </c>
      <c r="B1097" s="1" t="s">
        <v>1102</v>
      </c>
      <c r="C1097" s="1">
        <v>109</v>
      </c>
      <c r="D1097" s="1">
        <v>143</v>
      </c>
      <c r="E1097" s="1">
        <v>127</v>
      </c>
      <c r="F1097" s="1">
        <v>115</v>
      </c>
      <c r="G1097" s="1">
        <v>143</v>
      </c>
      <c r="H1097" s="1">
        <v>98</v>
      </c>
      <c r="I1097" s="1">
        <v>129</v>
      </c>
      <c r="J1097" s="1">
        <v>155</v>
      </c>
      <c r="K1097" s="1">
        <v>156</v>
      </c>
      <c r="L1097" s="1">
        <v>190</v>
      </c>
      <c r="M1097" s="1">
        <v>210</v>
      </c>
      <c r="N1097" s="1">
        <v>219</v>
      </c>
      <c r="O1097" s="1">
        <v>0</v>
      </c>
      <c r="P1097" s="1">
        <v>0</v>
      </c>
      <c r="Q1097" s="1">
        <v>0</v>
      </c>
      <c r="R1097" s="1">
        <v>0</v>
      </c>
      <c r="S1097" s="1">
        <v>0</v>
      </c>
      <c r="T1097" s="1">
        <v>0</v>
      </c>
      <c r="U1097" s="1">
        <v>0</v>
      </c>
      <c r="V1097" s="1">
        <v>0</v>
      </c>
      <c r="W1097" s="7"/>
    </row>
    <row r="1098" spans="1:23" x14ac:dyDescent="0.2">
      <c r="A1098" s="1" t="s">
        <v>1084</v>
      </c>
      <c r="B1098" s="1" t="s">
        <v>1103</v>
      </c>
      <c r="C1098" s="1">
        <v>3508</v>
      </c>
      <c r="D1098" s="1">
        <v>3269</v>
      </c>
      <c r="E1098" s="1">
        <v>3092</v>
      </c>
      <c r="F1098" s="1">
        <v>3278</v>
      </c>
      <c r="G1098" s="1">
        <v>3716</v>
      </c>
      <c r="H1098" s="1">
        <v>3438</v>
      </c>
      <c r="I1098" s="1">
        <v>3402</v>
      </c>
      <c r="J1098" s="1">
        <v>3176</v>
      </c>
      <c r="K1098" s="1">
        <v>2687</v>
      </c>
      <c r="L1098" s="1">
        <v>2824</v>
      </c>
      <c r="M1098" s="1">
        <v>2713</v>
      </c>
      <c r="N1098" s="1">
        <v>2433</v>
      </c>
      <c r="O1098" s="1">
        <v>2921</v>
      </c>
      <c r="P1098" s="1">
        <v>3012</v>
      </c>
      <c r="Q1098" s="1">
        <v>3281</v>
      </c>
      <c r="R1098" s="1">
        <v>3097</v>
      </c>
      <c r="S1098" s="1">
        <v>3617</v>
      </c>
      <c r="T1098" s="1">
        <v>3214</v>
      </c>
      <c r="U1098" s="1">
        <v>4022</v>
      </c>
      <c r="V1098" s="1">
        <v>3755</v>
      </c>
      <c r="W1098" s="7"/>
    </row>
    <row r="1099" spans="1:23" x14ac:dyDescent="0.2">
      <c r="A1099" s="1" t="s">
        <v>1084</v>
      </c>
      <c r="B1099" s="1" t="s">
        <v>1104</v>
      </c>
      <c r="C1099" s="1">
        <v>4992</v>
      </c>
      <c r="D1099" s="1">
        <v>5336</v>
      </c>
      <c r="E1099" s="1">
        <v>3092</v>
      </c>
      <c r="F1099" s="1">
        <v>7064</v>
      </c>
      <c r="G1099" s="1">
        <v>5701</v>
      </c>
      <c r="H1099" s="1">
        <v>4829</v>
      </c>
      <c r="I1099" s="1">
        <v>6447</v>
      </c>
      <c r="J1099" s="1">
        <v>5339</v>
      </c>
      <c r="K1099" s="1">
        <v>5005</v>
      </c>
      <c r="L1099" s="1">
        <v>4846</v>
      </c>
      <c r="M1099" s="1">
        <v>4433</v>
      </c>
      <c r="N1099" s="1">
        <v>3571</v>
      </c>
      <c r="O1099" s="1">
        <v>3806</v>
      </c>
      <c r="P1099" s="1">
        <v>3923</v>
      </c>
      <c r="Q1099" s="1">
        <v>3783</v>
      </c>
      <c r="R1099" s="1">
        <v>3796</v>
      </c>
      <c r="S1099" s="1">
        <v>4025</v>
      </c>
      <c r="T1099" s="1">
        <v>6640</v>
      </c>
      <c r="U1099" s="1">
        <v>5528</v>
      </c>
      <c r="V1099" s="1">
        <v>4754</v>
      </c>
      <c r="W1099" s="7"/>
    </row>
    <row r="1100" spans="1:23" x14ac:dyDescent="0.2">
      <c r="A1100" s="1" t="s">
        <v>1084</v>
      </c>
      <c r="B1100" s="1" t="s">
        <v>1105</v>
      </c>
      <c r="C1100" s="1">
        <v>1399</v>
      </c>
      <c r="D1100" s="1">
        <v>1137</v>
      </c>
      <c r="E1100" s="1">
        <v>957</v>
      </c>
      <c r="F1100" s="1">
        <v>822</v>
      </c>
      <c r="G1100" s="1">
        <v>840</v>
      </c>
      <c r="H1100" s="1">
        <v>783</v>
      </c>
      <c r="I1100" s="1">
        <v>838</v>
      </c>
      <c r="J1100" s="1">
        <v>769</v>
      </c>
      <c r="K1100" s="1">
        <v>680</v>
      </c>
      <c r="L1100" s="1">
        <v>952</v>
      </c>
      <c r="M1100" s="1">
        <v>947</v>
      </c>
      <c r="N1100" s="1">
        <v>588</v>
      </c>
      <c r="O1100" s="1">
        <v>400</v>
      </c>
      <c r="P1100" s="1">
        <v>410</v>
      </c>
      <c r="Q1100" s="1">
        <v>102</v>
      </c>
      <c r="R1100" s="1">
        <v>115</v>
      </c>
      <c r="S1100" s="1">
        <v>55</v>
      </c>
      <c r="T1100" s="1">
        <v>39</v>
      </c>
      <c r="U1100" s="1">
        <v>22</v>
      </c>
      <c r="V1100" s="1">
        <v>17</v>
      </c>
      <c r="W1100" s="7"/>
    </row>
    <row r="1101" spans="1:23" x14ac:dyDescent="0.2">
      <c r="A1101" s="1" t="s">
        <v>1084</v>
      </c>
      <c r="B1101" s="1" t="s">
        <v>1106</v>
      </c>
      <c r="C1101" s="1">
        <v>0</v>
      </c>
      <c r="D1101" s="1">
        <v>0</v>
      </c>
      <c r="E1101" s="1">
        <v>0</v>
      </c>
      <c r="F1101" s="1">
        <v>0</v>
      </c>
      <c r="G1101" s="1">
        <v>0</v>
      </c>
      <c r="H1101" s="1">
        <v>0</v>
      </c>
      <c r="I1101" s="1">
        <v>0</v>
      </c>
      <c r="J1101" s="1">
        <v>0</v>
      </c>
      <c r="K1101" s="1">
        <v>0</v>
      </c>
      <c r="L1101" s="1">
        <v>0</v>
      </c>
      <c r="M1101" s="1">
        <v>432</v>
      </c>
      <c r="N1101" s="1">
        <v>304</v>
      </c>
      <c r="O1101" s="1">
        <v>475</v>
      </c>
      <c r="P1101" s="1">
        <v>348</v>
      </c>
      <c r="Q1101" s="1">
        <v>532</v>
      </c>
      <c r="R1101" s="1">
        <v>638</v>
      </c>
      <c r="S1101" s="1">
        <v>533</v>
      </c>
      <c r="T1101" s="1">
        <v>527</v>
      </c>
      <c r="U1101" s="1">
        <v>485</v>
      </c>
      <c r="V1101" s="1">
        <v>657</v>
      </c>
      <c r="W1101" s="7"/>
    </row>
    <row r="1102" spans="1:23" x14ac:dyDescent="0.2">
      <c r="A1102" s="1" t="s">
        <v>1084</v>
      </c>
      <c r="B1102" s="1" t="s">
        <v>1107</v>
      </c>
      <c r="C1102" s="1">
        <v>379</v>
      </c>
      <c r="D1102" s="1">
        <v>449</v>
      </c>
      <c r="E1102" s="1">
        <v>491</v>
      </c>
      <c r="F1102" s="1">
        <v>490</v>
      </c>
      <c r="G1102" s="1">
        <v>541</v>
      </c>
      <c r="H1102" s="1">
        <v>590</v>
      </c>
      <c r="I1102" s="1">
        <v>799</v>
      </c>
      <c r="J1102" s="1">
        <v>622</v>
      </c>
      <c r="K1102" s="1">
        <v>551</v>
      </c>
      <c r="L1102" s="1">
        <v>546</v>
      </c>
      <c r="M1102" s="1">
        <v>815</v>
      </c>
      <c r="N1102" s="1">
        <v>999</v>
      </c>
      <c r="O1102" s="1">
        <v>1137</v>
      </c>
      <c r="P1102" s="1">
        <v>796</v>
      </c>
      <c r="Q1102" s="1">
        <v>663</v>
      </c>
      <c r="R1102" s="1">
        <v>835</v>
      </c>
      <c r="S1102" s="1">
        <v>793</v>
      </c>
      <c r="T1102" s="1">
        <v>689</v>
      </c>
      <c r="U1102" s="1">
        <v>804</v>
      </c>
      <c r="V1102" s="1">
        <v>582</v>
      </c>
      <c r="W1102" s="7"/>
    </row>
    <row r="1103" spans="1:23" x14ac:dyDescent="0.2">
      <c r="A1103" s="1" t="s">
        <v>1084</v>
      </c>
      <c r="B1103" s="1" t="s">
        <v>1108</v>
      </c>
      <c r="C1103" s="1">
        <v>1269</v>
      </c>
      <c r="D1103" s="1">
        <v>1640</v>
      </c>
      <c r="E1103" s="1">
        <v>1480</v>
      </c>
      <c r="F1103" s="1">
        <v>1613</v>
      </c>
      <c r="G1103" s="1">
        <v>1941</v>
      </c>
      <c r="H1103" s="1">
        <v>1586</v>
      </c>
      <c r="I1103" s="1">
        <v>1756</v>
      </c>
      <c r="J1103" s="1">
        <v>1479</v>
      </c>
      <c r="K1103" s="1">
        <v>1943</v>
      </c>
      <c r="L1103" s="1">
        <v>1640</v>
      </c>
      <c r="M1103" s="1">
        <v>1525</v>
      </c>
      <c r="N1103" s="1">
        <v>1410</v>
      </c>
      <c r="O1103" s="1">
        <v>1381</v>
      </c>
      <c r="P1103" s="1">
        <v>1388</v>
      </c>
      <c r="Q1103" s="1">
        <v>1432</v>
      </c>
      <c r="R1103" s="1">
        <v>1579</v>
      </c>
      <c r="S1103" s="1">
        <v>1571</v>
      </c>
      <c r="T1103" s="1">
        <v>1372</v>
      </c>
      <c r="U1103" s="1">
        <v>1373</v>
      </c>
      <c r="V1103" s="1">
        <v>1383</v>
      </c>
      <c r="W1103" s="7"/>
    </row>
    <row r="1104" spans="1:23" x14ac:dyDescent="0.2">
      <c r="A1104" s="1" t="s">
        <v>1084</v>
      </c>
      <c r="B1104" s="1" t="s">
        <v>1109</v>
      </c>
      <c r="C1104" s="1">
        <v>93</v>
      </c>
      <c r="D1104" s="1">
        <v>146</v>
      </c>
      <c r="E1104" s="1">
        <v>156</v>
      </c>
      <c r="F1104" s="1">
        <v>200</v>
      </c>
      <c r="G1104" s="1">
        <v>283</v>
      </c>
      <c r="H1104" s="1">
        <v>206</v>
      </c>
      <c r="I1104" s="1">
        <v>233</v>
      </c>
      <c r="J1104" s="1">
        <v>240</v>
      </c>
      <c r="K1104" s="1">
        <v>206</v>
      </c>
      <c r="L1104" s="1">
        <v>174</v>
      </c>
      <c r="M1104" s="1">
        <v>380</v>
      </c>
      <c r="N1104" s="1">
        <v>215</v>
      </c>
      <c r="O1104" s="1">
        <v>247</v>
      </c>
      <c r="P1104" s="1">
        <v>217</v>
      </c>
      <c r="Q1104" s="1">
        <v>222</v>
      </c>
      <c r="R1104" s="1">
        <v>266</v>
      </c>
      <c r="S1104" s="1">
        <v>130</v>
      </c>
      <c r="T1104" s="1">
        <v>262</v>
      </c>
      <c r="U1104" s="1">
        <v>200</v>
      </c>
      <c r="V1104" s="1">
        <v>180</v>
      </c>
      <c r="W1104" s="7"/>
    </row>
    <row r="1105" spans="1:23" x14ac:dyDescent="0.2">
      <c r="A1105" s="1" t="s">
        <v>1084</v>
      </c>
      <c r="B1105" s="1" t="s">
        <v>1110</v>
      </c>
      <c r="C1105" s="1">
        <v>1130</v>
      </c>
      <c r="D1105" s="1">
        <v>1024</v>
      </c>
      <c r="E1105" s="1">
        <v>1599</v>
      </c>
      <c r="F1105" s="1">
        <v>1670</v>
      </c>
      <c r="G1105" s="1">
        <v>1909</v>
      </c>
      <c r="H1105" s="1">
        <v>1079</v>
      </c>
      <c r="I1105" s="1">
        <v>882</v>
      </c>
      <c r="J1105" s="1">
        <v>1017</v>
      </c>
      <c r="K1105" s="1">
        <v>1442</v>
      </c>
      <c r="L1105" s="1">
        <v>2034</v>
      </c>
      <c r="M1105" s="1">
        <v>0</v>
      </c>
      <c r="N1105" s="1">
        <v>0</v>
      </c>
      <c r="O1105" s="1">
        <v>0</v>
      </c>
      <c r="P1105" s="1">
        <v>0</v>
      </c>
      <c r="Q1105" s="1">
        <v>0</v>
      </c>
      <c r="R1105" s="1">
        <v>0</v>
      </c>
      <c r="S1105" s="1">
        <v>0</v>
      </c>
      <c r="T1105" s="1">
        <v>0</v>
      </c>
      <c r="U1105" s="1">
        <v>0</v>
      </c>
      <c r="V1105" s="1">
        <v>0</v>
      </c>
      <c r="W1105" s="7"/>
    </row>
    <row r="1106" spans="1:23" x14ac:dyDescent="0.2">
      <c r="A1106" s="1" t="s">
        <v>1084</v>
      </c>
      <c r="B1106" s="1" t="s">
        <v>1111</v>
      </c>
      <c r="C1106" s="1">
        <f>SUM(C1107:C1113)</f>
        <v>2082</v>
      </c>
      <c r="D1106" s="1">
        <f t="shared" ref="D1106:V1106" si="230">SUM(D1107:D1113)</f>
        <v>1833</v>
      </c>
      <c r="E1106" s="1">
        <f t="shared" si="230"/>
        <v>1892</v>
      </c>
      <c r="F1106" s="1">
        <f t="shared" si="230"/>
        <v>2113</v>
      </c>
      <c r="G1106" s="1">
        <f t="shared" si="230"/>
        <v>2843</v>
      </c>
      <c r="H1106" s="1">
        <f t="shared" si="230"/>
        <v>3064</v>
      </c>
      <c r="I1106" s="1">
        <f t="shared" si="230"/>
        <v>2913</v>
      </c>
      <c r="J1106" s="1">
        <f t="shared" si="230"/>
        <v>3346</v>
      </c>
      <c r="K1106" s="1">
        <f t="shared" si="230"/>
        <v>3581</v>
      </c>
      <c r="L1106" s="1">
        <f t="shared" si="230"/>
        <v>4056</v>
      </c>
      <c r="M1106" s="1">
        <f t="shared" si="230"/>
        <v>4306</v>
      </c>
      <c r="N1106" s="1">
        <f t="shared" si="230"/>
        <v>4058</v>
      </c>
      <c r="O1106" s="1">
        <f t="shared" si="230"/>
        <v>2080</v>
      </c>
      <c r="P1106" s="1">
        <f t="shared" si="230"/>
        <v>1723</v>
      </c>
      <c r="Q1106" s="1">
        <f t="shared" si="230"/>
        <v>1436</v>
      </c>
      <c r="R1106" s="1">
        <f t="shared" si="230"/>
        <v>1526</v>
      </c>
      <c r="S1106" s="1">
        <f t="shared" si="230"/>
        <v>1555</v>
      </c>
      <c r="T1106" s="1">
        <f t="shared" si="230"/>
        <v>1967</v>
      </c>
      <c r="U1106" s="1">
        <f t="shared" si="230"/>
        <v>1795</v>
      </c>
      <c r="V1106" s="1">
        <f t="shared" si="230"/>
        <v>2322</v>
      </c>
    </row>
    <row r="1107" spans="1:23" x14ac:dyDescent="0.2">
      <c r="A1107" s="1" t="s">
        <v>1084</v>
      </c>
      <c r="B1107" s="1" t="s">
        <v>1112</v>
      </c>
      <c r="C1107" s="1">
        <v>197</v>
      </c>
      <c r="D1107" s="1">
        <v>170</v>
      </c>
      <c r="E1107" s="1">
        <v>193</v>
      </c>
      <c r="F1107" s="1">
        <v>227</v>
      </c>
      <c r="G1107" s="1">
        <v>252</v>
      </c>
      <c r="H1107" s="1">
        <v>246</v>
      </c>
      <c r="I1107" s="1">
        <v>233</v>
      </c>
      <c r="J1107" s="1">
        <v>219</v>
      </c>
      <c r="K1107" s="1">
        <v>168</v>
      </c>
      <c r="L1107" s="1">
        <v>259</v>
      </c>
      <c r="M1107" s="1">
        <v>300</v>
      </c>
      <c r="N1107" s="1">
        <v>393</v>
      </c>
      <c r="O1107" s="1">
        <v>410</v>
      </c>
      <c r="P1107" s="1">
        <v>298</v>
      </c>
      <c r="Q1107" s="1">
        <v>222</v>
      </c>
      <c r="R1107" s="1">
        <v>324</v>
      </c>
      <c r="S1107" s="1">
        <v>324</v>
      </c>
      <c r="T1107" s="1">
        <v>310</v>
      </c>
      <c r="U1107" s="1">
        <v>252</v>
      </c>
      <c r="V1107" s="1">
        <v>462</v>
      </c>
    </row>
    <row r="1108" spans="1:23" x14ac:dyDescent="0.2">
      <c r="A1108" s="1" t="s">
        <v>1084</v>
      </c>
      <c r="B1108" s="1" t="s">
        <v>1113</v>
      </c>
      <c r="C1108" s="1">
        <v>0</v>
      </c>
      <c r="D1108" s="1">
        <v>0</v>
      </c>
      <c r="E1108" s="1">
        <v>0</v>
      </c>
      <c r="F1108" s="1">
        <v>0</v>
      </c>
      <c r="G1108" s="1">
        <v>0</v>
      </c>
      <c r="H1108" s="1">
        <v>0</v>
      </c>
      <c r="I1108" s="1">
        <v>0</v>
      </c>
      <c r="J1108" s="1">
        <v>0</v>
      </c>
      <c r="K1108" s="1">
        <v>0</v>
      </c>
      <c r="L1108" s="1">
        <v>110</v>
      </c>
      <c r="M1108" s="1">
        <v>19</v>
      </c>
      <c r="N1108" s="1">
        <v>14</v>
      </c>
      <c r="O1108" s="1">
        <v>28</v>
      </c>
      <c r="P1108" s="1">
        <v>38</v>
      </c>
      <c r="Q1108" s="1">
        <v>51</v>
      </c>
      <c r="R1108" s="1">
        <v>48</v>
      </c>
      <c r="S1108" s="1">
        <v>66</v>
      </c>
      <c r="T1108" s="1">
        <v>57</v>
      </c>
      <c r="U1108" s="1">
        <v>87</v>
      </c>
      <c r="V1108" s="1">
        <v>113</v>
      </c>
    </row>
    <row r="1109" spans="1:23" x14ac:dyDescent="0.2">
      <c r="A1109" s="1" t="s">
        <v>1084</v>
      </c>
      <c r="B1109" s="1" t="s">
        <v>1114</v>
      </c>
      <c r="C1109" s="1">
        <v>636</v>
      </c>
      <c r="D1109" s="1">
        <v>454</v>
      </c>
      <c r="E1109" s="1">
        <v>392</v>
      </c>
      <c r="F1109" s="1">
        <v>463</v>
      </c>
      <c r="G1109" s="1">
        <v>724</v>
      </c>
      <c r="H1109" s="1">
        <v>786</v>
      </c>
      <c r="I1109" s="1">
        <v>897</v>
      </c>
      <c r="J1109" s="1">
        <v>698</v>
      </c>
      <c r="K1109" s="1">
        <v>698</v>
      </c>
      <c r="L1109" s="1">
        <v>887</v>
      </c>
      <c r="M1109" s="1">
        <v>1251</v>
      </c>
      <c r="N1109" s="1">
        <v>737</v>
      </c>
      <c r="O1109" s="1">
        <v>774</v>
      </c>
      <c r="P1109" s="1">
        <v>963</v>
      </c>
      <c r="Q1109" s="1">
        <v>814</v>
      </c>
      <c r="R1109" s="1">
        <v>913</v>
      </c>
      <c r="S1109" s="1">
        <v>970</v>
      </c>
      <c r="T1109" s="1">
        <v>1452</v>
      </c>
      <c r="U1109" s="1">
        <v>1350</v>
      </c>
      <c r="V1109" s="1">
        <v>1487</v>
      </c>
    </row>
    <row r="1110" spans="1:23" x14ac:dyDescent="0.2">
      <c r="A1110" s="1" t="s">
        <v>1084</v>
      </c>
      <c r="B1110" s="1" t="s">
        <v>1115</v>
      </c>
      <c r="C1110" s="1">
        <v>767</v>
      </c>
      <c r="D1110" s="1">
        <v>738</v>
      </c>
      <c r="E1110" s="1">
        <v>814</v>
      </c>
      <c r="F1110" s="1">
        <v>778</v>
      </c>
      <c r="G1110" s="1">
        <v>1092</v>
      </c>
      <c r="H1110" s="1">
        <v>1193</v>
      </c>
      <c r="I1110" s="1">
        <v>961</v>
      </c>
      <c r="J1110" s="1">
        <v>1107</v>
      </c>
      <c r="K1110" s="1">
        <v>1175</v>
      </c>
      <c r="L1110" s="1">
        <v>1306</v>
      </c>
      <c r="M1110" s="1">
        <v>1087</v>
      </c>
      <c r="N1110" s="1">
        <v>1091</v>
      </c>
      <c r="O1110" s="1">
        <v>864</v>
      </c>
      <c r="P1110" s="1">
        <v>418</v>
      </c>
      <c r="Q1110" s="1">
        <v>340</v>
      </c>
      <c r="R1110" s="1">
        <v>226</v>
      </c>
      <c r="S1110" s="1">
        <v>172</v>
      </c>
      <c r="T1110" s="1">
        <v>123</v>
      </c>
      <c r="U1110" s="1">
        <v>98</v>
      </c>
      <c r="V1110" s="1">
        <v>242</v>
      </c>
    </row>
    <row r="1111" spans="1:23" x14ac:dyDescent="0.2">
      <c r="A1111" s="1" t="s">
        <v>1084</v>
      </c>
      <c r="B1111" s="1" t="s">
        <v>1116</v>
      </c>
      <c r="C1111" s="1">
        <v>0</v>
      </c>
      <c r="D1111" s="1">
        <v>0</v>
      </c>
      <c r="E1111" s="1">
        <v>0</v>
      </c>
      <c r="F1111" s="1">
        <v>0</v>
      </c>
      <c r="G1111" s="1">
        <v>0</v>
      </c>
      <c r="H1111" s="1">
        <v>0</v>
      </c>
      <c r="I1111" s="1">
        <v>0</v>
      </c>
      <c r="J1111" s="1">
        <v>0</v>
      </c>
      <c r="K1111" s="1">
        <v>0</v>
      </c>
      <c r="L1111" s="1">
        <v>0</v>
      </c>
      <c r="M1111" s="1">
        <v>0</v>
      </c>
      <c r="N1111" s="1">
        <v>0</v>
      </c>
      <c r="O1111" s="1">
        <v>4</v>
      </c>
      <c r="P1111" s="1">
        <v>6</v>
      </c>
      <c r="Q1111" s="1">
        <v>9</v>
      </c>
      <c r="R1111" s="1">
        <v>15</v>
      </c>
      <c r="S1111" s="1">
        <v>23</v>
      </c>
      <c r="T1111" s="1">
        <v>25</v>
      </c>
      <c r="U1111" s="1">
        <v>8</v>
      </c>
      <c r="V1111" s="1">
        <v>18</v>
      </c>
    </row>
    <row r="1112" spans="1:23" x14ac:dyDescent="0.2">
      <c r="A1112" s="1" t="s">
        <v>1084</v>
      </c>
      <c r="B1112" s="1" t="s">
        <v>1117</v>
      </c>
      <c r="C1112" s="1">
        <v>429</v>
      </c>
      <c r="D1112" s="1">
        <v>432</v>
      </c>
      <c r="E1112" s="1">
        <v>424</v>
      </c>
      <c r="F1112" s="1">
        <v>550</v>
      </c>
      <c r="G1112" s="1">
        <v>688</v>
      </c>
      <c r="H1112" s="1">
        <v>687</v>
      </c>
      <c r="I1112" s="1">
        <v>689</v>
      </c>
      <c r="J1112" s="1">
        <v>1205</v>
      </c>
      <c r="K1112" s="1">
        <v>1438</v>
      </c>
      <c r="L1112" s="1">
        <v>1366</v>
      </c>
      <c r="M1112" s="1">
        <v>1565</v>
      </c>
      <c r="N1112" s="1">
        <v>1686</v>
      </c>
      <c r="O1112" s="1">
        <v>0</v>
      </c>
      <c r="P1112" s="1">
        <v>0</v>
      </c>
      <c r="Q1112" s="1">
        <v>0</v>
      </c>
      <c r="R1112" s="1">
        <v>0</v>
      </c>
      <c r="S1112" s="1">
        <v>0</v>
      </c>
      <c r="T1112" s="1">
        <v>0</v>
      </c>
      <c r="U1112" s="1">
        <v>0</v>
      </c>
      <c r="V1112" s="1">
        <v>0</v>
      </c>
    </row>
    <row r="1113" spans="1:23" x14ac:dyDescent="0.2">
      <c r="A1113" s="1" t="s">
        <v>1084</v>
      </c>
      <c r="B1113" s="1" t="s">
        <v>1118</v>
      </c>
      <c r="C1113" s="1">
        <v>53</v>
      </c>
      <c r="D1113" s="1">
        <v>39</v>
      </c>
      <c r="E1113" s="1">
        <v>69</v>
      </c>
      <c r="F1113" s="1">
        <v>95</v>
      </c>
      <c r="G1113" s="1">
        <v>87</v>
      </c>
      <c r="H1113" s="1">
        <v>152</v>
      </c>
      <c r="I1113" s="1">
        <v>133</v>
      </c>
      <c r="J1113" s="1">
        <v>117</v>
      </c>
      <c r="K1113" s="1">
        <v>102</v>
      </c>
      <c r="L1113" s="1">
        <v>128</v>
      </c>
      <c r="M1113" s="1">
        <v>84</v>
      </c>
      <c r="N1113" s="1">
        <v>137</v>
      </c>
      <c r="O1113" s="1">
        <v>0</v>
      </c>
      <c r="P1113" s="1">
        <v>0</v>
      </c>
      <c r="Q1113" s="1">
        <v>0</v>
      </c>
      <c r="R1113" s="1">
        <v>0</v>
      </c>
      <c r="S1113" s="1">
        <v>0</v>
      </c>
      <c r="T1113" s="1">
        <v>0</v>
      </c>
      <c r="U1113" s="1">
        <v>0</v>
      </c>
      <c r="V1113" s="1">
        <v>0</v>
      </c>
    </row>
    <row r="1114" spans="1:23" x14ac:dyDescent="0.2">
      <c r="A1114" s="1" t="s">
        <v>1084</v>
      </c>
      <c r="B1114" s="1" t="s">
        <v>1119</v>
      </c>
      <c r="C1114" s="1">
        <f t="shared" ref="C1114:V1114" si="231">SUM(C1115:C1122)</f>
        <v>1236</v>
      </c>
      <c r="D1114" s="1">
        <f t="shared" si="231"/>
        <v>1151</v>
      </c>
      <c r="E1114" s="1">
        <f t="shared" si="231"/>
        <v>945</v>
      </c>
      <c r="F1114" s="1">
        <f t="shared" si="231"/>
        <v>1036</v>
      </c>
      <c r="G1114" s="1">
        <f t="shared" si="231"/>
        <v>1196</v>
      </c>
      <c r="H1114" s="1">
        <f t="shared" si="231"/>
        <v>1156</v>
      </c>
      <c r="I1114" s="1">
        <f t="shared" si="231"/>
        <v>1254</v>
      </c>
      <c r="J1114" s="1">
        <f t="shared" si="231"/>
        <v>1025</v>
      </c>
      <c r="K1114" s="1">
        <f t="shared" si="231"/>
        <v>1008</v>
      </c>
      <c r="L1114" s="1">
        <f t="shared" si="231"/>
        <v>1134</v>
      </c>
      <c r="M1114" s="1">
        <f t="shared" si="231"/>
        <v>1289</v>
      </c>
      <c r="N1114" s="1">
        <f t="shared" si="231"/>
        <v>1286</v>
      </c>
      <c r="O1114" s="1">
        <f t="shared" si="231"/>
        <v>1270</v>
      </c>
      <c r="P1114" s="1">
        <f t="shared" si="231"/>
        <v>1161</v>
      </c>
      <c r="Q1114" s="1">
        <f t="shared" si="231"/>
        <v>1234</v>
      </c>
      <c r="R1114" s="1">
        <f t="shared" si="231"/>
        <v>1242</v>
      </c>
      <c r="S1114" s="1">
        <f t="shared" si="231"/>
        <v>1429</v>
      </c>
      <c r="T1114" s="1">
        <f t="shared" si="231"/>
        <v>1668</v>
      </c>
      <c r="U1114" s="1">
        <f t="shared" si="231"/>
        <v>1938</v>
      </c>
      <c r="V1114" s="1">
        <f t="shared" si="231"/>
        <v>1779</v>
      </c>
    </row>
    <row r="1115" spans="1:23" x14ac:dyDescent="0.2">
      <c r="A1115" s="1" t="s">
        <v>1084</v>
      </c>
      <c r="B1115" s="1" t="s">
        <v>1120</v>
      </c>
      <c r="C1115" s="1">
        <v>519</v>
      </c>
      <c r="D1115" s="1">
        <v>394</v>
      </c>
      <c r="E1115" s="1">
        <v>334</v>
      </c>
      <c r="F1115" s="1">
        <v>356</v>
      </c>
      <c r="G1115" s="1">
        <v>412</v>
      </c>
      <c r="H1115" s="1">
        <v>398</v>
      </c>
      <c r="I1115" s="1">
        <v>415</v>
      </c>
      <c r="J1115" s="1">
        <v>346</v>
      </c>
      <c r="K1115" s="1">
        <v>313</v>
      </c>
      <c r="L1115" s="1">
        <v>389</v>
      </c>
      <c r="M1115" s="1">
        <v>350</v>
      </c>
      <c r="N1115" s="1">
        <v>406</v>
      </c>
      <c r="O1115" s="1">
        <v>382</v>
      </c>
      <c r="P1115" s="1">
        <v>383</v>
      </c>
      <c r="Q1115" s="1">
        <v>452</v>
      </c>
      <c r="R1115" s="1">
        <v>432</v>
      </c>
      <c r="S1115" s="1">
        <v>531</v>
      </c>
      <c r="T1115" s="1">
        <v>454</v>
      </c>
      <c r="U1115" s="1">
        <v>579</v>
      </c>
      <c r="V1115" s="1">
        <v>517</v>
      </c>
    </row>
    <row r="1116" spans="1:23" x14ac:dyDescent="0.2">
      <c r="A1116" s="1" t="s">
        <v>1084</v>
      </c>
      <c r="B1116" s="1" t="s">
        <v>1121</v>
      </c>
      <c r="C1116" s="1">
        <v>429</v>
      </c>
      <c r="D1116" s="1">
        <v>363</v>
      </c>
      <c r="E1116" s="1">
        <v>334</v>
      </c>
      <c r="F1116" s="1">
        <v>366</v>
      </c>
      <c r="G1116" s="1">
        <v>374</v>
      </c>
      <c r="H1116" s="1">
        <v>311</v>
      </c>
      <c r="I1116" s="1">
        <v>268</v>
      </c>
      <c r="J1116" s="1">
        <v>268</v>
      </c>
      <c r="K1116" s="1">
        <v>277</v>
      </c>
      <c r="L1116" s="1">
        <v>304</v>
      </c>
      <c r="M1116" s="1">
        <v>343</v>
      </c>
      <c r="N1116" s="1">
        <v>285</v>
      </c>
      <c r="O1116" s="1">
        <v>269</v>
      </c>
      <c r="P1116" s="1">
        <v>279</v>
      </c>
      <c r="Q1116" s="1">
        <v>358</v>
      </c>
      <c r="R1116" s="1">
        <v>347</v>
      </c>
      <c r="S1116" s="1">
        <v>342</v>
      </c>
      <c r="T1116" s="1">
        <v>655</v>
      </c>
      <c r="U1116" s="1">
        <v>758</v>
      </c>
      <c r="V1116" s="1">
        <v>663</v>
      </c>
    </row>
    <row r="1117" spans="1:23" x14ac:dyDescent="0.2">
      <c r="A1117" s="1" t="s">
        <v>1084</v>
      </c>
      <c r="B1117" s="1" t="s">
        <v>1122</v>
      </c>
      <c r="C1117" s="1">
        <v>48</v>
      </c>
      <c r="D1117" s="1">
        <v>74</v>
      </c>
      <c r="E1117" s="1">
        <v>66</v>
      </c>
      <c r="F1117" s="1">
        <v>88</v>
      </c>
      <c r="G1117" s="1">
        <v>99</v>
      </c>
      <c r="H1117" s="1">
        <v>118</v>
      </c>
      <c r="I1117" s="1">
        <v>111</v>
      </c>
      <c r="J1117" s="1">
        <v>97</v>
      </c>
      <c r="K1117" s="1">
        <v>91</v>
      </c>
      <c r="L1117" s="1">
        <v>130</v>
      </c>
      <c r="M1117" s="1">
        <v>149</v>
      </c>
      <c r="N1117" s="1">
        <v>127</v>
      </c>
      <c r="O1117" s="1">
        <v>59</v>
      </c>
      <c r="P1117" s="1">
        <v>62</v>
      </c>
      <c r="Q1117" s="1">
        <v>11</v>
      </c>
      <c r="R1117" s="1">
        <v>32</v>
      </c>
      <c r="S1117" s="1">
        <v>8</v>
      </c>
      <c r="T1117" s="1">
        <v>3</v>
      </c>
      <c r="U1117" s="1">
        <v>1</v>
      </c>
      <c r="V1117" s="1">
        <v>0</v>
      </c>
    </row>
    <row r="1118" spans="1:23" x14ac:dyDescent="0.2">
      <c r="A1118" s="1" t="s">
        <v>1084</v>
      </c>
      <c r="B1118" s="1" t="s">
        <v>1123</v>
      </c>
      <c r="C1118" s="1">
        <v>0</v>
      </c>
      <c r="D1118" s="1">
        <v>0</v>
      </c>
      <c r="E1118" s="1">
        <v>0</v>
      </c>
      <c r="F1118" s="1">
        <v>0</v>
      </c>
      <c r="G1118" s="1">
        <v>0</v>
      </c>
      <c r="H1118" s="1">
        <v>0</v>
      </c>
      <c r="I1118" s="1">
        <v>0</v>
      </c>
      <c r="J1118" s="1">
        <v>0</v>
      </c>
      <c r="K1118" s="1">
        <v>0</v>
      </c>
      <c r="L1118" s="1">
        <v>0</v>
      </c>
      <c r="M1118" s="1">
        <v>42</v>
      </c>
      <c r="N1118" s="1">
        <v>37</v>
      </c>
      <c r="O1118" s="1">
        <v>79</v>
      </c>
      <c r="P1118" s="1">
        <v>33</v>
      </c>
      <c r="Q1118" s="1">
        <v>67</v>
      </c>
      <c r="R1118" s="1">
        <v>81</v>
      </c>
      <c r="S1118" s="1">
        <v>111</v>
      </c>
      <c r="T1118" s="1">
        <v>98</v>
      </c>
      <c r="U1118" s="1">
        <v>92</v>
      </c>
      <c r="V1118" s="1">
        <v>86</v>
      </c>
    </row>
    <row r="1119" spans="1:23" x14ac:dyDescent="0.2">
      <c r="A1119" s="1" t="s">
        <v>1084</v>
      </c>
      <c r="B1119" s="1" t="s">
        <v>1124</v>
      </c>
      <c r="C1119" s="1">
        <v>33</v>
      </c>
      <c r="D1119" s="1">
        <v>41</v>
      </c>
      <c r="E1119" s="1">
        <v>39</v>
      </c>
      <c r="F1119" s="1">
        <v>27</v>
      </c>
      <c r="G1119" s="1">
        <v>69</v>
      </c>
      <c r="H1119" s="1">
        <v>111</v>
      </c>
      <c r="I1119" s="1">
        <v>183</v>
      </c>
      <c r="J1119" s="1">
        <v>127</v>
      </c>
      <c r="K1119" s="1">
        <v>74</v>
      </c>
      <c r="L1119" s="1">
        <v>91</v>
      </c>
      <c r="M1119" s="1">
        <v>149</v>
      </c>
      <c r="N1119" s="1">
        <v>185</v>
      </c>
      <c r="O1119" s="1">
        <v>237</v>
      </c>
      <c r="P1119" s="1">
        <v>140</v>
      </c>
      <c r="Q1119" s="1">
        <v>92</v>
      </c>
      <c r="R1119" s="1">
        <v>83</v>
      </c>
      <c r="S1119" s="1">
        <v>109</v>
      </c>
      <c r="T1119" s="1">
        <v>85</v>
      </c>
      <c r="U1119" s="1">
        <v>143</v>
      </c>
      <c r="V1119" s="1">
        <v>92</v>
      </c>
    </row>
    <row r="1120" spans="1:23" x14ac:dyDescent="0.2">
      <c r="A1120" s="1" t="s">
        <v>1084</v>
      </c>
      <c r="B1120" s="1" t="s">
        <v>1125</v>
      </c>
      <c r="C1120" s="1">
        <v>200</v>
      </c>
      <c r="D1120" s="1">
        <v>255</v>
      </c>
      <c r="E1120" s="1">
        <v>149</v>
      </c>
      <c r="F1120" s="1">
        <v>185</v>
      </c>
      <c r="G1120" s="1">
        <v>218</v>
      </c>
      <c r="H1120" s="1">
        <v>189</v>
      </c>
      <c r="I1120" s="1">
        <v>249</v>
      </c>
      <c r="J1120" s="1">
        <v>164</v>
      </c>
      <c r="K1120" s="1">
        <v>227</v>
      </c>
      <c r="L1120" s="1">
        <v>199</v>
      </c>
      <c r="M1120" s="1">
        <v>222</v>
      </c>
      <c r="N1120" s="1">
        <v>212</v>
      </c>
      <c r="O1120" s="1">
        <v>208</v>
      </c>
      <c r="P1120" s="1">
        <v>228</v>
      </c>
      <c r="Q1120" s="1">
        <v>216</v>
      </c>
      <c r="R1120" s="1">
        <v>231</v>
      </c>
      <c r="S1120" s="1">
        <v>306</v>
      </c>
      <c r="T1120" s="1">
        <v>325</v>
      </c>
      <c r="U1120" s="1">
        <v>311</v>
      </c>
      <c r="V1120" s="1">
        <v>392</v>
      </c>
    </row>
    <row r="1121" spans="1:22" x14ac:dyDescent="0.2">
      <c r="A1121" s="1" t="s">
        <v>1084</v>
      </c>
      <c r="B1121" s="1" t="s">
        <v>1126</v>
      </c>
      <c r="C1121" s="1">
        <v>2</v>
      </c>
      <c r="D1121" s="1">
        <v>0</v>
      </c>
      <c r="E1121" s="1">
        <v>0</v>
      </c>
      <c r="F1121" s="1">
        <v>0</v>
      </c>
      <c r="G1121" s="1">
        <v>0</v>
      </c>
      <c r="H1121" s="1">
        <v>0</v>
      </c>
      <c r="I1121" s="1">
        <v>0</v>
      </c>
      <c r="J1121" s="1">
        <v>1</v>
      </c>
      <c r="K1121" s="1">
        <v>1</v>
      </c>
      <c r="L1121" s="1">
        <v>0</v>
      </c>
      <c r="M1121" s="1">
        <v>0</v>
      </c>
      <c r="N1121" s="1">
        <v>0</v>
      </c>
      <c r="O1121" s="1">
        <v>0</v>
      </c>
      <c r="P1121" s="1">
        <v>0</v>
      </c>
      <c r="Q1121" s="1">
        <v>0</v>
      </c>
      <c r="R1121" s="1">
        <v>0</v>
      </c>
      <c r="S1121" s="1">
        <v>0</v>
      </c>
      <c r="T1121" s="1">
        <v>0</v>
      </c>
      <c r="U1121" s="1">
        <v>0</v>
      </c>
      <c r="V1121" s="1">
        <v>0</v>
      </c>
    </row>
    <row r="1122" spans="1:22" x14ac:dyDescent="0.2">
      <c r="A1122" s="1" t="s">
        <v>1084</v>
      </c>
      <c r="B1122" s="1" t="s">
        <v>1127</v>
      </c>
      <c r="C1122" s="1">
        <v>5</v>
      </c>
      <c r="D1122" s="1">
        <v>24</v>
      </c>
      <c r="E1122" s="1">
        <v>23</v>
      </c>
      <c r="F1122" s="1">
        <v>14</v>
      </c>
      <c r="G1122" s="1">
        <v>24</v>
      </c>
      <c r="H1122" s="1">
        <v>29</v>
      </c>
      <c r="I1122" s="1">
        <v>28</v>
      </c>
      <c r="J1122" s="1">
        <v>22</v>
      </c>
      <c r="K1122" s="1">
        <v>25</v>
      </c>
      <c r="L1122" s="1">
        <v>21</v>
      </c>
      <c r="M1122" s="1">
        <v>34</v>
      </c>
      <c r="N1122" s="1">
        <v>34</v>
      </c>
      <c r="O1122" s="1">
        <v>36</v>
      </c>
      <c r="P1122" s="1">
        <v>36</v>
      </c>
      <c r="Q1122" s="1">
        <v>38</v>
      </c>
      <c r="R1122" s="1">
        <v>36</v>
      </c>
      <c r="S1122" s="1">
        <v>22</v>
      </c>
      <c r="T1122" s="1">
        <v>48</v>
      </c>
      <c r="U1122" s="1">
        <v>54</v>
      </c>
      <c r="V1122" s="1">
        <v>29</v>
      </c>
    </row>
    <row r="1123" spans="1:22" x14ac:dyDescent="0.2">
      <c r="A1123" s="1" t="s">
        <v>1084</v>
      </c>
      <c r="B1123" s="1" t="s">
        <v>1128</v>
      </c>
      <c r="C1123" s="1">
        <f>SUM(C1124:C1126)</f>
        <v>3</v>
      </c>
      <c r="D1123" s="1">
        <f t="shared" ref="D1123:V1123" si="232">SUM(D1124:D1126)</f>
        <v>5</v>
      </c>
      <c r="E1123" s="1">
        <f t="shared" si="232"/>
        <v>4</v>
      </c>
      <c r="F1123" s="1">
        <f t="shared" si="232"/>
        <v>7</v>
      </c>
      <c r="G1123" s="1">
        <f t="shared" si="232"/>
        <v>6</v>
      </c>
      <c r="H1123" s="1">
        <f t="shared" si="232"/>
        <v>4</v>
      </c>
      <c r="I1123" s="1">
        <f t="shared" si="232"/>
        <v>19</v>
      </c>
      <c r="J1123" s="1">
        <f t="shared" si="232"/>
        <v>9</v>
      </c>
      <c r="K1123" s="1">
        <f t="shared" si="232"/>
        <v>28</v>
      </c>
      <c r="L1123" s="1">
        <f t="shared" si="232"/>
        <v>19</v>
      </c>
      <c r="M1123" s="1">
        <f t="shared" si="232"/>
        <v>17</v>
      </c>
      <c r="N1123" s="1">
        <f t="shared" si="232"/>
        <v>11</v>
      </c>
      <c r="O1123" s="1">
        <f t="shared" si="232"/>
        <v>11</v>
      </c>
      <c r="P1123" s="1">
        <f t="shared" si="232"/>
        <v>31</v>
      </c>
      <c r="Q1123" s="1">
        <f t="shared" si="232"/>
        <v>18</v>
      </c>
      <c r="R1123" s="1">
        <f t="shared" si="232"/>
        <v>42</v>
      </c>
      <c r="S1123" s="1">
        <f t="shared" si="232"/>
        <v>26</v>
      </c>
      <c r="T1123" s="1">
        <f t="shared" si="232"/>
        <v>23</v>
      </c>
      <c r="U1123" s="1">
        <f t="shared" si="232"/>
        <v>52</v>
      </c>
      <c r="V1123" s="1">
        <f t="shared" si="232"/>
        <v>56</v>
      </c>
    </row>
    <row r="1124" spans="1:22" x14ac:dyDescent="0.2">
      <c r="A1124" s="1" t="s">
        <v>1084</v>
      </c>
      <c r="B1124" s="1" t="s">
        <v>1129</v>
      </c>
      <c r="C1124" s="1">
        <v>3</v>
      </c>
      <c r="D1124" s="1">
        <v>5</v>
      </c>
      <c r="E1124" s="1">
        <v>4</v>
      </c>
      <c r="F1124" s="1">
        <v>7</v>
      </c>
      <c r="G1124" s="1">
        <v>6</v>
      </c>
      <c r="H1124" s="1">
        <v>2</v>
      </c>
      <c r="I1124" s="1">
        <v>8</v>
      </c>
      <c r="J1124" s="1">
        <v>3</v>
      </c>
      <c r="K1124" s="1">
        <v>22</v>
      </c>
      <c r="L1124" s="1">
        <v>14</v>
      </c>
      <c r="M1124" s="1">
        <v>6</v>
      </c>
      <c r="N1124" s="1">
        <v>3</v>
      </c>
      <c r="O1124" s="1">
        <v>2</v>
      </c>
      <c r="P1124" s="1">
        <v>7</v>
      </c>
      <c r="Q1124" s="1">
        <v>2</v>
      </c>
      <c r="R1124" s="1">
        <v>10</v>
      </c>
      <c r="S1124" s="1">
        <v>3</v>
      </c>
      <c r="T1124" s="1">
        <v>5</v>
      </c>
      <c r="U1124" s="1">
        <v>5</v>
      </c>
      <c r="V1124" s="1">
        <v>7</v>
      </c>
    </row>
    <row r="1125" spans="1:22" x14ac:dyDescent="0.2">
      <c r="A1125" s="1" t="s">
        <v>1084</v>
      </c>
      <c r="B1125" s="1" t="s">
        <v>1130</v>
      </c>
      <c r="C1125" s="1">
        <v>0</v>
      </c>
      <c r="D1125" s="1">
        <v>0</v>
      </c>
      <c r="E1125" s="1">
        <v>0</v>
      </c>
      <c r="F1125" s="1">
        <v>0</v>
      </c>
      <c r="G1125" s="1">
        <v>0</v>
      </c>
      <c r="H1125" s="1">
        <v>0</v>
      </c>
      <c r="I1125" s="1">
        <v>0</v>
      </c>
      <c r="J1125" s="1">
        <v>0</v>
      </c>
      <c r="K1125" s="1">
        <v>0</v>
      </c>
      <c r="L1125" s="1">
        <v>0</v>
      </c>
      <c r="M1125" s="1">
        <v>0</v>
      </c>
      <c r="N1125" s="1">
        <v>0</v>
      </c>
      <c r="O1125" s="1">
        <v>0</v>
      </c>
      <c r="P1125" s="1">
        <v>1</v>
      </c>
      <c r="Q1125" s="1">
        <v>0</v>
      </c>
      <c r="R1125" s="1">
        <v>0</v>
      </c>
      <c r="S1125" s="1">
        <v>0</v>
      </c>
      <c r="T1125" s="1">
        <v>0</v>
      </c>
      <c r="U1125" s="1">
        <v>0</v>
      </c>
      <c r="V1125" s="1">
        <v>1</v>
      </c>
    </row>
    <row r="1126" spans="1:22" x14ac:dyDescent="0.2">
      <c r="A1126" s="1" t="s">
        <v>1084</v>
      </c>
      <c r="B1126" s="1" t="s">
        <v>1131</v>
      </c>
      <c r="C1126" s="1">
        <v>0</v>
      </c>
      <c r="D1126" s="1">
        <v>0</v>
      </c>
      <c r="E1126" s="1">
        <v>0</v>
      </c>
      <c r="F1126" s="1">
        <v>0</v>
      </c>
      <c r="G1126" s="1">
        <v>0</v>
      </c>
      <c r="H1126" s="1">
        <v>2</v>
      </c>
      <c r="I1126" s="1">
        <v>11</v>
      </c>
      <c r="J1126" s="1">
        <v>6</v>
      </c>
      <c r="K1126" s="1">
        <v>6</v>
      </c>
      <c r="L1126" s="1">
        <v>5</v>
      </c>
      <c r="M1126" s="1">
        <v>11</v>
      </c>
      <c r="N1126" s="1">
        <v>8</v>
      </c>
      <c r="O1126" s="1">
        <v>9</v>
      </c>
      <c r="P1126" s="1">
        <v>23</v>
      </c>
      <c r="Q1126" s="1">
        <v>16</v>
      </c>
      <c r="R1126" s="1">
        <v>32</v>
      </c>
      <c r="S1126" s="1">
        <v>23</v>
      </c>
      <c r="T1126" s="1">
        <v>18</v>
      </c>
      <c r="U1126" s="1">
        <v>47</v>
      </c>
      <c r="V1126" s="1">
        <v>48</v>
      </c>
    </row>
    <row r="1127" spans="1:22" x14ac:dyDescent="0.2">
      <c r="A1127" s="1" t="s">
        <v>1084</v>
      </c>
      <c r="B1127" s="1" t="s">
        <v>1132</v>
      </c>
      <c r="C1127" s="1">
        <f t="shared" ref="C1127:V1127" si="233">SUM(C1128:C1135)</f>
        <v>3155</v>
      </c>
      <c r="D1127" s="1">
        <f t="shared" si="233"/>
        <v>3736</v>
      </c>
      <c r="E1127" s="1">
        <f t="shared" si="233"/>
        <v>2125</v>
      </c>
      <c r="F1127" s="1">
        <f t="shared" si="233"/>
        <v>5447</v>
      </c>
      <c r="G1127" s="1">
        <f t="shared" si="233"/>
        <v>4598</v>
      </c>
      <c r="H1127" s="1">
        <f t="shared" si="233"/>
        <v>3711</v>
      </c>
      <c r="I1127" s="1">
        <f t="shared" si="233"/>
        <v>5358</v>
      </c>
      <c r="J1127" s="1">
        <f t="shared" si="233"/>
        <v>3756</v>
      </c>
      <c r="K1127" s="1">
        <f t="shared" si="233"/>
        <v>3270</v>
      </c>
      <c r="L1127" s="1">
        <f t="shared" si="233"/>
        <v>2810</v>
      </c>
      <c r="M1127" s="1">
        <f t="shared" si="233"/>
        <v>2959</v>
      </c>
      <c r="N1127" s="1">
        <f t="shared" si="233"/>
        <v>1949</v>
      </c>
      <c r="O1127" s="1">
        <f t="shared" si="233"/>
        <v>2158</v>
      </c>
      <c r="P1127" s="1">
        <f t="shared" si="233"/>
        <v>2262</v>
      </c>
      <c r="Q1127" s="1">
        <f t="shared" si="233"/>
        <v>2197</v>
      </c>
      <c r="R1127" s="1">
        <f t="shared" si="233"/>
        <v>2354</v>
      </c>
      <c r="S1127" s="1">
        <f t="shared" si="233"/>
        <v>2381</v>
      </c>
      <c r="T1127" s="1">
        <f t="shared" si="233"/>
        <v>2414</v>
      </c>
      <c r="U1127" s="1">
        <f t="shared" si="233"/>
        <v>2742</v>
      </c>
      <c r="V1127" s="1">
        <f t="shared" si="233"/>
        <v>2693</v>
      </c>
    </row>
    <row r="1128" spans="1:22" x14ac:dyDescent="0.2">
      <c r="A1128" s="1" t="s">
        <v>1084</v>
      </c>
      <c r="B1128" s="1" t="s">
        <v>1133</v>
      </c>
      <c r="C1128" s="1">
        <v>777</v>
      </c>
      <c r="D1128" s="1">
        <v>757</v>
      </c>
      <c r="E1128" s="1">
        <v>705</v>
      </c>
      <c r="F1128" s="1">
        <v>738</v>
      </c>
      <c r="G1128" s="1">
        <v>733</v>
      </c>
      <c r="H1128" s="1">
        <v>717</v>
      </c>
      <c r="I1128" s="1">
        <v>716</v>
      </c>
      <c r="J1128" s="1">
        <v>645</v>
      </c>
      <c r="K1128" s="1">
        <v>487</v>
      </c>
      <c r="L1128" s="1">
        <v>502</v>
      </c>
      <c r="M1128" s="1">
        <v>468</v>
      </c>
      <c r="N1128" s="1">
        <v>412</v>
      </c>
      <c r="O1128" s="1">
        <v>529</v>
      </c>
      <c r="P1128" s="1">
        <v>579</v>
      </c>
      <c r="Q1128" s="1">
        <v>606</v>
      </c>
      <c r="R1128" s="1">
        <v>545</v>
      </c>
      <c r="S1128" s="1">
        <v>583</v>
      </c>
      <c r="T1128" s="1">
        <v>512</v>
      </c>
      <c r="U1128" s="1">
        <v>597</v>
      </c>
      <c r="V1128" s="1">
        <v>812</v>
      </c>
    </row>
    <row r="1129" spans="1:22" x14ac:dyDescent="0.2">
      <c r="A1129" s="1" t="s">
        <v>1084</v>
      </c>
      <c r="B1129" s="1" t="s">
        <v>1134</v>
      </c>
      <c r="C1129" s="1">
        <v>1667</v>
      </c>
      <c r="D1129" s="1">
        <v>2203</v>
      </c>
      <c r="E1129" s="1">
        <v>705</v>
      </c>
      <c r="F1129" s="1">
        <v>4022</v>
      </c>
      <c r="G1129" s="1">
        <v>3063</v>
      </c>
      <c r="H1129" s="1">
        <v>2342</v>
      </c>
      <c r="I1129" s="1">
        <v>3852</v>
      </c>
      <c r="J1129" s="1">
        <v>2412</v>
      </c>
      <c r="K1129" s="1">
        <v>2013</v>
      </c>
      <c r="L1129" s="1">
        <v>1543</v>
      </c>
      <c r="M1129" s="1">
        <v>1555</v>
      </c>
      <c r="N1129" s="1">
        <v>853</v>
      </c>
      <c r="O1129" s="1">
        <v>888</v>
      </c>
      <c r="P1129" s="1">
        <v>939</v>
      </c>
      <c r="Q1129" s="1">
        <v>874</v>
      </c>
      <c r="R1129" s="1">
        <v>976</v>
      </c>
      <c r="S1129" s="1">
        <v>1102</v>
      </c>
      <c r="T1129" s="1">
        <v>1277</v>
      </c>
      <c r="U1129" s="1">
        <v>1457</v>
      </c>
      <c r="V1129" s="1">
        <v>1304</v>
      </c>
    </row>
    <row r="1130" spans="1:22" x14ac:dyDescent="0.2">
      <c r="A1130" s="1" t="s">
        <v>1084</v>
      </c>
      <c r="B1130" s="1" t="s">
        <v>1135</v>
      </c>
      <c r="C1130" s="1">
        <v>308</v>
      </c>
      <c r="D1130" s="1">
        <v>271</v>
      </c>
      <c r="E1130" s="1">
        <v>209</v>
      </c>
      <c r="F1130" s="1">
        <v>120</v>
      </c>
      <c r="G1130" s="1">
        <v>130</v>
      </c>
      <c r="H1130" s="1">
        <v>128</v>
      </c>
      <c r="I1130" s="1">
        <v>141</v>
      </c>
      <c r="J1130" s="1">
        <v>116</v>
      </c>
      <c r="K1130" s="1">
        <v>132</v>
      </c>
      <c r="L1130" s="1">
        <v>179</v>
      </c>
      <c r="M1130" s="1">
        <v>146</v>
      </c>
      <c r="N1130" s="1">
        <v>76</v>
      </c>
      <c r="O1130" s="1">
        <v>67</v>
      </c>
      <c r="P1130" s="1">
        <v>103</v>
      </c>
      <c r="Q1130" s="1">
        <v>15</v>
      </c>
      <c r="R1130" s="1">
        <v>12</v>
      </c>
      <c r="S1130" s="1">
        <v>4</v>
      </c>
      <c r="T1130" s="1">
        <v>0</v>
      </c>
      <c r="U1130" s="1">
        <v>0</v>
      </c>
      <c r="V1130" s="1">
        <v>0</v>
      </c>
    </row>
    <row r="1131" spans="1:22" x14ac:dyDescent="0.2">
      <c r="A1131" s="1" t="s">
        <v>1084</v>
      </c>
      <c r="B1131" s="1" t="s">
        <v>1136</v>
      </c>
      <c r="C1131" s="1">
        <v>0</v>
      </c>
      <c r="D1131" s="1">
        <v>0</v>
      </c>
      <c r="E1131" s="1">
        <v>0</v>
      </c>
      <c r="F1131" s="1">
        <v>0</v>
      </c>
      <c r="G1131" s="1">
        <v>0</v>
      </c>
      <c r="H1131" s="1">
        <v>0</v>
      </c>
      <c r="I1131" s="1">
        <v>0</v>
      </c>
      <c r="J1131" s="1">
        <v>0</v>
      </c>
      <c r="K1131" s="1">
        <v>0</v>
      </c>
      <c r="L1131" s="1">
        <v>0</v>
      </c>
      <c r="M1131" s="1">
        <v>159</v>
      </c>
      <c r="N1131" s="1">
        <v>67</v>
      </c>
      <c r="O1131" s="1">
        <v>124</v>
      </c>
      <c r="P1131" s="1">
        <v>97</v>
      </c>
      <c r="Q1131" s="1">
        <v>144</v>
      </c>
      <c r="R1131" s="1">
        <v>145</v>
      </c>
      <c r="S1131" s="1">
        <v>106</v>
      </c>
      <c r="T1131" s="1">
        <v>116</v>
      </c>
      <c r="U1131" s="1">
        <v>96</v>
      </c>
      <c r="V1131" s="1">
        <v>88</v>
      </c>
    </row>
    <row r="1132" spans="1:22" x14ac:dyDescent="0.2">
      <c r="A1132" s="1" t="s">
        <v>1084</v>
      </c>
      <c r="B1132" s="1" t="s">
        <v>1137</v>
      </c>
      <c r="C1132" s="1">
        <v>125</v>
      </c>
      <c r="D1132" s="1">
        <v>132</v>
      </c>
      <c r="E1132" s="1">
        <v>126</v>
      </c>
      <c r="F1132" s="1">
        <v>144</v>
      </c>
      <c r="G1132" s="1">
        <v>127</v>
      </c>
      <c r="H1132" s="1">
        <v>100</v>
      </c>
      <c r="I1132" s="1">
        <v>165</v>
      </c>
      <c r="J1132" s="1">
        <v>138</v>
      </c>
      <c r="K1132" s="1">
        <v>109</v>
      </c>
      <c r="L1132" s="1">
        <v>102</v>
      </c>
      <c r="M1132" s="1">
        <v>164</v>
      </c>
      <c r="N1132" s="1">
        <v>200</v>
      </c>
      <c r="O1132" s="1">
        <v>225</v>
      </c>
      <c r="P1132" s="1">
        <v>206</v>
      </c>
      <c r="Q1132" s="1">
        <v>161</v>
      </c>
      <c r="R1132" s="1">
        <v>211</v>
      </c>
      <c r="S1132" s="1">
        <v>191</v>
      </c>
      <c r="T1132" s="1">
        <v>177</v>
      </c>
      <c r="U1132" s="1">
        <v>219</v>
      </c>
      <c r="V1132" s="1">
        <v>164</v>
      </c>
    </row>
    <row r="1133" spans="1:22" x14ac:dyDescent="0.2">
      <c r="A1133" s="1" t="s">
        <v>1084</v>
      </c>
      <c r="B1133" s="1" t="s">
        <v>1138</v>
      </c>
      <c r="C1133" s="1">
        <v>215</v>
      </c>
      <c r="D1133" s="1">
        <v>302</v>
      </c>
      <c r="E1133" s="1">
        <v>314</v>
      </c>
      <c r="F1133" s="1">
        <v>357</v>
      </c>
      <c r="G1133" s="1">
        <v>422</v>
      </c>
      <c r="H1133" s="1">
        <v>349</v>
      </c>
      <c r="I1133" s="1">
        <v>418</v>
      </c>
      <c r="J1133" s="1">
        <v>363</v>
      </c>
      <c r="K1133" s="1">
        <v>472</v>
      </c>
      <c r="L1133" s="1">
        <v>432</v>
      </c>
      <c r="M1133" s="1">
        <v>402</v>
      </c>
      <c r="N1133" s="1">
        <v>309</v>
      </c>
      <c r="O1133" s="1">
        <v>289</v>
      </c>
      <c r="P1133" s="1">
        <v>302</v>
      </c>
      <c r="Q1133" s="1">
        <v>355</v>
      </c>
      <c r="R1133" s="1">
        <v>412</v>
      </c>
      <c r="S1133" s="1">
        <v>378</v>
      </c>
      <c r="T1133" s="1">
        <v>282</v>
      </c>
      <c r="U1133" s="1">
        <v>353</v>
      </c>
      <c r="V1133" s="1">
        <v>295</v>
      </c>
    </row>
    <row r="1134" spans="1:22" x14ac:dyDescent="0.2">
      <c r="A1134" s="1" t="s">
        <v>1084</v>
      </c>
      <c r="B1134" s="1" t="s">
        <v>1139</v>
      </c>
      <c r="C1134" s="1">
        <v>43</v>
      </c>
      <c r="D1134" s="1">
        <v>53</v>
      </c>
      <c r="E1134" s="1">
        <v>48</v>
      </c>
      <c r="F1134" s="1">
        <v>44</v>
      </c>
      <c r="G1134" s="1">
        <v>30</v>
      </c>
      <c r="H1134" s="1">
        <v>28</v>
      </c>
      <c r="I1134" s="1">
        <v>35</v>
      </c>
      <c r="J1134" s="1">
        <v>28</v>
      </c>
      <c r="K1134" s="1">
        <v>17</v>
      </c>
      <c r="L1134" s="1">
        <v>22</v>
      </c>
      <c r="M1134" s="1">
        <v>0</v>
      </c>
      <c r="N1134" s="1">
        <v>1</v>
      </c>
      <c r="O1134" s="1">
        <v>0</v>
      </c>
      <c r="P1134" s="1">
        <v>0</v>
      </c>
      <c r="Q1134" s="1">
        <v>0</v>
      </c>
      <c r="R1134" s="1">
        <v>0</v>
      </c>
      <c r="S1134" s="1">
        <v>0</v>
      </c>
      <c r="T1134" s="1">
        <v>0</v>
      </c>
      <c r="U1134" s="1">
        <v>0</v>
      </c>
      <c r="V1134" s="1">
        <v>0</v>
      </c>
    </row>
    <row r="1135" spans="1:22" x14ac:dyDescent="0.2">
      <c r="A1135" s="1" t="s">
        <v>1084</v>
      </c>
      <c r="B1135" s="1" t="s">
        <v>1140</v>
      </c>
      <c r="C1135" s="1">
        <v>20</v>
      </c>
      <c r="D1135" s="1">
        <v>18</v>
      </c>
      <c r="E1135" s="1">
        <v>18</v>
      </c>
      <c r="F1135" s="1">
        <v>22</v>
      </c>
      <c r="G1135" s="1">
        <v>93</v>
      </c>
      <c r="H1135" s="1">
        <v>47</v>
      </c>
      <c r="I1135" s="1">
        <v>31</v>
      </c>
      <c r="J1135" s="1">
        <v>54</v>
      </c>
      <c r="K1135" s="1">
        <v>40</v>
      </c>
      <c r="L1135" s="1">
        <v>30</v>
      </c>
      <c r="M1135" s="1">
        <v>65</v>
      </c>
      <c r="N1135" s="1">
        <v>31</v>
      </c>
      <c r="O1135" s="1">
        <v>36</v>
      </c>
      <c r="P1135" s="1">
        <v>36</v>
      </c>
      <c r="Q1135" s="1">
        <v>42</v>
      </c>
      <c r="R1135" s="1">
        <v>53</v>
      </c>
      <c r="S1135" s="1">
        <v>17</v>
      </c>
      <c r="T1135" s="1">
        <v>50</v>
      </c>
      <c r="U1135" s="1">
        <v>20</v>
      </c>
      <c r="V1135" s="1">
        <v>30</v>
      </c>
    </row>
    <row r="1136" spans="1:22" x14ac:dyDescent="0.2">
      <c r="A1136" s="1" t="s">
        <v>1084</v>
      </c>
      <c r="B1136" s="1" t="s">
        <v>1141</v>
      </c>
      <c r="C1136" s="1">
        <f>SUM(C1137:C1139)</f>
        <v>137</v>
      </c>
      <c r="D1136" s="1">
        <f t="shared" ref="D1136:V1136" si="234">SUM(D1137:D1139)</f>
        <v>107</v>
      </c>
      <c r="E1136" s="1">
        <f t="shared" si="234"/>
        <v>98</v>
      </c>
      <c r="F1136" s="1">
        <f t="shared" si="234"/>
        <v>114</v>
      </c>
      <c r="G1136" s="1">
        <f t="shared" si="234"/>
        <v>195</v>
      </c>
      <c r="H1136" s="1">
        <f t="shared" si="234"/>
        <v>107</v>
      </c>
      <c r="I1136" s="1">
        <f t="shared" si="234"/>
        <v>126</v>
      </c>
      <c r="J1136" s="1">
        <f t="shared" si="234"/>
        <v>143</v>
      </c>
      <c r="K1136" s="1">
        <f t="shared" si="234"/>
        <v>163</v>
      </c>
      <c r="L1136" s="1">
        <f t="shared" si="234"/>
        <v>281</v>
      </c>
      <c r="M1136" s="1">
        <f t="shared" si="234"/>
        <v>295</v>
      </c>
      <c r="N1136" s="1">
        <f t="shared" si="234"/>
        <v>170</v>
      </c>
      <c r="O1136" s="1">
        <f t="shared" si="234"/>
        <v>162</v>
      </c>
      <c r="P1136" s="1">
        <f t="shared" si="234"/>
        <v>197</v>
      </c>
      <c r="Q1136" s="1">
        <f t="shared" si="234"/>
        <v>180</v>
      </c>
      <c r="R1136" s="1">
        <f t="shared" si="234"/>
        <v>244</v>
      </c>
      <c r="S1136" s="1">
        <f t="shared" si="234"/>
        <v>228</v>
      </c>
      <c r="T1136" s="1">
        <f t="shared" si="234"/>
        <v>185</v>
      </c>
      <c r="U1136" s="1">
        <f t="shared" si="234"/>
        <v>162</v>
      </c>
      <c r="V1136" s="1">
        <f t="shared" si="234"/>
        <v>212</v>
      </c>
    </row>
    <row r="1137" spans="1:22" x14ac:dyDescent="0.2">
      <c r="A1137" s="1" t="s">
        <v>1084</v>
      </c>
      <c r="B1137" s="1" t="s">
        <v>1142</v>
      </c>
      <c r="C1137" s="1">
        <v>13</v>
      </c>
      <c r="D1137" s="1">
        <v>2</v>
      </c>
      <c r="E1137" s="1">
        <v>8</v>
      </c>
      <c r="F1137" s="1">
        <v>4</v>
      </c>
      <c r="G1137" s="1">
        <v>2</v>
      </c>
      <c r="H1137" s="1">
        <v>5</v>
      </c>
      <c r="I1137" s="1">
        <v>2</v>
      </c>
      <c r="J1137" s="1">
        <v>2</v>
      </c>
      <c r="K1137" s="1">
        <v>2</v>
      </c>
      <c r="L1137" s="1">
        <v>2</v>
      </c>
      <c r="M1137" s="1">
        <v>0</v>
      </c>
      <c r="N1137" s="1">
        <v>1</v>
      </c>
      <c r="O1137" s="1">
        <v>2</v>
      </c>
      <c r="P1137" s="1">
        <v>1</v>
      </c>
      <c r="Q1137" s="1">
        <v>1</v>
      </c>
      <c r="R1137" s="1">
        <v>2</v>
      </c>
      <c r="S1137" s="1">
        <v>0</v>
      </c>
      <c r="T1137" s="1">
        <v>1</v>
      </c>
      <c r="U1137" s="1">
        <v>0</v>
      </c>
      <c r="V1137" s="1">
        <v>18</v>
      </c>
    </row>
    <row r="1138" spans="1:22" x14ac:dyDescent="0.2">
      <c r="A1138" s="1" t="s">
        <v>1084</v>
      </c>
      <c r="B1138" s="1" t="s">
        <v>1143</v>
      </c>
      <c r="C1138" s="1">
        <v>0</v>
      </c>
      <c r="D1138" s="1">
        <v>0</v>
      </c>
      <c r="E1138" s="1">
        <v>0</v>
      </c>
      <c r="F1138" s="1">
        <v>0</v>
      </c>
      <c r="G1138" s="1">
        <v>0</v>
      </c>
      <c r="H1138" s="1">
        <v>0</v>
      </c>
      <c r="I1138" s="1">
        <v>0</v>
      </c>
      <c r="J1138" s="1">
        <v>0</v>
      </c>
      <c r="K1138" s="1">
        <v>0</v>
      </c>
      <c r="L1138" s="1">
        <v>9</v>
      </c>
      <c r="M1138" s="1">
        <v>0</v>
      </c>
      <c r="N1138" s="1">
        <v>0</v>
      </c>
      <c r="O1138" s="1">
        <v>0</v>
      </c>
      <c r="P1138" s="1">
        <v>0</v>
      </c>
      <c r="Q1138" s="1">
        <v>0</v>
      </c>
      <c r="R1138" s="1">
        <v>0</v>
      </c>
      <c r="S1138" s="1">
        <v>0</v>
      </c>
      <c r="T1138" s="1">
        <v>0</v>
      </c>
      <c r="U1138" s="1">
        <v>0</v>
      </c>
      <c r="V1138" s="1">
        <v>3</v>
      </c>
    </row>
    <row r="1139" spans="1:22" x14ac:dyDescent="0.2">
      <c r="A1139" s="1" t="s">
        <v>1084</v>
      </c>
      <c r="B1139" s="1" t="s">
        <v>1144</v>
      </c>
      <c r="C1139" s="1">
        <v>124</v>
      </c>
      <c r="D1139" s="1">
        <v>105</v>
      </c>
      <c r="E1139" s="1">
        <v>90</v>
      </c>
      <c r="F1139" s="1">
        <v>110</v>
      </c>
      <c r="G1139" s="1">
        <v>193</v>
      </c>
      <c r="H1139" s="1">
        <v>102</v>
      </c>
      <c r="I1139" s="1">
        <v>124</v>
      </c>
      <c r="J1139" s="1">
        <v>141</v>
      </c>
      <c r="K1139" s="1">
        <v>161</v>
      </c>
      <c r="L1139" s="1">
        <v>270</v>
      </c>
      <c r="M1139" s="1">
        <v>295</v>
      </c>
      <c r="N1139" s="1">
        <v>169</v>
      </c>
      <c r="O1139" s="1">
        <v>160</v>
      </c>
      <c r="P1139" s="1">
        <v>196</v>
      </c>
      <c r="Q1139" s="1">
        <v>179</v>
      </c>
      <c r="R1139" s="1">
        <v>242</v>
      </c>
      <c r="S1139" s="1">
        <v>228</v>
      </c>
      <c r="T1139" s="1">
        <v>184</v>
      </c>
      <c r="U1139" s="1">
        <v>162</v>
      </c>
      <c r="V1139" s="1">
        <v>191</v>
      </c>
    </row>
    <row r="1140" spans="1:22" x14ac:dyDescent="0.2">
      <c r="B1140" s="1" t="s">
        <v>1145</v>
      </c>
      <c r="C1140" s="1">
        <f t="shared" ref="C1140:V1140" si="235">C1141+C1170+C1179+C1212+C1232+C1240+C1245+C1260+C1302+C1315+C1339+C1343+C1354+C1368+C1386+C1414+C1429+C1437+C1452+C1458+C1474+C1501+C1513+C1521+C1534+C1557+C1609+C1493+C1610+C1620+C1621</f>
        <v>94525</v>
      </c>
      <c r="D1140" s="1">
        <f t="shared" si="235"/>
        <v>101582</v>
      </c>
      <c r="E1140" s="1">
        <f t="shared" si="235"/>
        <v>106384</v>
      </c>
      <c r="F1140" s="1">
        <f t="shared" si="235"/>
        <v>121622</v>
      </c>
      <c r="G1140" s="1">
        <f t="shared" si="235"/>
        <v>128584</v>
      </c>
      <c r="H1140" s="1">
        <f t="shared" si="235"/>
        <v>130358</v>
      </c>
      <c r="I1140" s="1">
        <f t="shared" si="235"/>
        <v>129887</v>
      </c>
      <c r="J1140" s="1">
        <f t="shared" si="235"/>
        <v>145041</v>
      </c>
      <c r="K1140" s="1">
        <f t="shared" si="235"/>
        <v>175650</v>
      </c>
      <c r="L1140" s="1">
        <f t="shared" si="235"/>
        <v>231628</v>
      </c>
      <c r="M1140" s="1">
        <f t="shared" si="235"/>
        <v>235617</v>
      </c>
      <c r="N1140" s="1">
        <f t="shared" si="235"/>
        <v>221113</v>
      </c>
      <c r="O1140" s="1">
        <f t="shared" si="235"/>
        <v>146624</v>
      </c>
      <c r="P1140" s="1">
        <f t="shared" si="235"/>
        <v>161459</v>
      </c>
      <c r="Q1140" s="1">
        <f t="shared" si="235"/>
        <v>170997</v>
      </c>
      <c r="R1140" s="1">
        <f t="shared" si="235"/>
        <v>160172</v>
      </c>
      <c r="S1140" s="1">
        <f t="shared" si="235"/>
        <v>158771</v>
      </c>
      <c r="T1140" s="1">
        <f t="shared" si="235"/>
        <v>161771</v>
      </c>
      <c r="U1140" s="1">
        <f t="shared" si="235"/>
        <v>175197</v>
      </c>
      <c r="V1140" s="1">
        <f t="shared" si="235"/>
        <v>198436</v>
      </c>
    </row>
    <row r="1141" spans="1:22" x14ac:dyDescent="0.2">
      <c r="A1141" s="1" t="s">
        <v>1146</v>
      </c>
      <c r="B1141" s="1" t="s">
        <v>1147</v>
      </c>
      <c r="C1141" s="1">
        <f>SUM(C1142:C1169)</f>
        <v>14143</v>
      </c>
      <c r="D1141" s="1">
        <f>SUM(D1142:D1169)</f>
        <v>13917</v>
      </c>
      <c r="E1141" s="1">
        <f>SUM(E1142:E1169)</f>
        <v>14037</v>
      </c>
      <c r="F1141" s="1">
        <f>SUM(F1142:F1169)</f>
        <v>15827</v>
      </c>
      <c r="G1141" s="1">
        <f t="shared" ref="G1141:R1141" si="236">SUM(G1142:G1169)</f>
        <v>16174</v>
      </c>
      <c r="H1141" s="1">
        <f t="shared" si="236"/>
        <v>16045</v>
      </c>
      <c r="I1141" s="1">
        <f t="shared" si="236"/>
        <v>15888</v>
      </c>
      <c r="J1141" s="1">
        <f t="shared" si="236"/>
        <v>17370</v>
      </c>
      <c r="K1141" s="1">
        <f t="shared" si="236"/>
        <v>19234</v>
      </c>
      <c r="L1141" s="1">
        <f t="shared" si="236"/>
        <v>21547</v>
      </c>
      <c r="M1141" s="1">
        <f t="shared" si="236"/>
        <v>21718</v>
      </c>
      <c r="N1141" s="1">
        <f t="shared" si="236"/>
        <v>19795</v>
      </c>
      <c r="O1141" s="1">
        <f t="shared" si="236"/>
        <v>17427</v>
      </c>
      <c r="P1141" s="1">
        <f t="shared" si="236"/>
        <v>18504</v>
      </c>
      <c r="Q1141" s="1">
        <f t="shared" si="236"/>
        <v>18570</v>
      </c>
      <c r="R1141" s="1">
        <f t="shared" si="236"/>
        <v>19015</v>
      </c>
      <c r="S1141" s="1">
        <f>SUM(S1142:S1169)</f>
        <v>19697</v>
      </c>
      <c r="T1141" s="1">
        <f>SUM(T1142:T1169)</f>
        <v>19486</v>
      </c>
      <c r="U1141" s="1">
        <f>SUM(U1142:U1169)</f>
        <v>19016</v>
      </c>
      <c r="V1141" s="1">
        <f>SUM(V1142:V1169)</f>
        <v>18799</v>
      </c>
    </row>
    <row r="1142" spans="1:22" x14ac:dyDescent="0.2">
      <c r="A1142" s="1" t="s">
        <v>1146</v>
      </c>
      <c r="B1142" s="1" t="s">
        <v>1148</v>
      </c>
      <c r="C1142" s="1">
        <v>48</v>
      </c>
      <c r="D1142" s="1">
        <v>55</v>
      </c>
      <c r="E1142" s="1">
        <v>55</v>
      </c>
      <c r="F1142" s="1">
        <v>62</v>
      </c>
      <c r="G1142" s="1">
        <v>51</v>
      </c>
      <c r="H1142" s="1">
        <v>57</v>
      </c>
      <c r="I1142" s="1">
        <v>102</v>
      </c>
      <c r="J1142" s="1">
        <v>76</v>
      </c>
      <c r="K1142" s="1">
        <v>89</v>
      </c>
      <c r="L1142" s="1">
        <v>112</v>
      </c>
      <c r="M1142" s="1">
        <v>106</v>
      </c>
      <c r="N1142" s="1">
        <v>91</v>
      </c>
      <c r="O1142" s="1">
        <v>104</v>
      </c>
      <c r="P1142" s="1">
        <v>154</v>
      </c>
      <c r="Q1142" s="1">
        <v>239</v>
      </c>
      <c r="R1142" s="1">
        <v>75</v>
      </c>
      <c r="S1142" s="1">
        <v>339</v>
      </c>
      <c r="T1142" s="1">
        <v>276</v>
      </c>
      <c r="U1142" s="1">
        <v>404</v>
      </c>
      <c r="V1142" s="1">
        <v>429</v>
      </c>
    </row>
    <row r="1143" spans="1:22" x14ac:dyDescent="0.2">
      <c r="A1143" s="1" t="s">
        <v>1146</v>
      </c>
      <c r="B1143" s="1" t="s">
        <v>1149</v>
      </c>
      <c r="C1143" s="1">
        <v>0</v>
      </c>
      <c r="D1143" s="1">
        <v>0</v>
      </c>
      <c r="E1143" s="1">
        <v>0</v>
      </c>
      <c r="F1143" s="1">
        <v>0</v>
      </c>
      <c r="G1143" s="1">
        <v>8</v>
      </c>
      <c r="H1143" s="1">
        <v>6</v>
      </c>
      <c r="I1143" s="1">
        <v>75</v>
      </c>
      <c r="J1143" s="1">
        <v>8</v>
      </c>
      <c r="K1143" s="1">
        <v>10</v>
      </c>
      <c r="L1143" s="1">
        <v>21</v>
      </c>
      <c r="M1143" s="1">
        <v>55</v>
      </c>
      <c r="N1143" s="1">
        <v>22</v>
      </c>
      <c r="O1143" s="1">
        <v>7</v>
      </c>
      <c r="P1143" s="1">
        <v>12</v>
      </c>
      <c r="Q1143" s="1">
        <v>26</v>
      </c>
      <c r="R1143" s="1">
        <v>2</v>
      </c>
      <c r="S1143" s="1">
        <v>31</v>
      </c>
      <c r="T1143" s="1">
        <v>3</v>
      </c>
      <c r="U1143" s="1">
        <v>14</v>
      </c>
      <c r="V1143" s="1">
        <v>4</v>
      </c>
    </row>
    <row r="1144" spans="1:22" x14ac:dyDescent="0.2">
      <c r="A1144" s="1" t="s">
        <v>1146</v>
      </c>
      <c r="B1144" s="1" t="s">
        <v>1150</v>
      </c>
      <c r="C1144" s="1">
        <v>0</v>
      </c>
      <c r="D1144" s="1">
        <v>1</v>
      </c>
      <c r="E1144" s="1">
        <v>8</v>
      </c>
      <c r="F1144" s="1">
        <v>11</v>
      </c>
      <c r="G1144" s="1">
        <v>0</v>
      </c>
      <c r="H1144" s="1">
        <v>0</v>
      </c>
      <c r="I1144" s="1">
        <v>0</v>
      </c>
      <c r="J1144" s="1">
        <v>1</v>
      </c>
      <c r="K1144" s="1">
        <v>2</v>
      </c>
      <c r="L1144" s="1">
        <v>1</v>
      </c>
      <c r="M1144" s="1">
        <v>1</v>
      </c>
      <c r="N1144" s="1">
        <v>2</v>
      </c>
      <c r="O1144" s="1">
        <v>1</v>
      </c>
      <c r="P1144" s="1">
        <v>2</v>
      </c>
      <c r="Q1144" s="1">
        <v>1</v>
      </c>
      <c r="R1144" s="1">
        <v>0</v>
      </c>
      <c r="S1144" s="1">
        <v>0</v>
      </c>
      <c r="T1144" s="1">
        <v>0</v>
      </c>
      <c r="U1144" s="1">
        <v>0</v>
      </c>
      <c r="V1144" s="1">
        <v>0</v>
      </c>
    </row>
    <row r="1145" spans="1:22" x14ac:dyDescent="0.2">
      <c r="A1145" s="1" t="s">
        <v>1146</v>
      </c>
      <c r="B1145" s="1" t="s">
        <v>1151</v>
      </c>
      <c r="C1145" s="1">
        <v>37</v>
      </c>
      <c r="D1145" s="1">
        <v>45</v>
      </c>
      <c r="E1145" s="1">
        <v>32</v>
      </c>
      <c r="F1145" s="1">
        <v>44</v>
      </c>
      <c r="G1145" s="1">
        <v>46</v>
      </c>
      <c r="H1145" s="1">
        <v>47</v>
      </c>
      <c r="I1145" s="1">
        <v>43</v>
      </c>
      <c r="J1145" s="1">
        <v>31</v>
      </c>
      <c r="K1145" s="1">
        <v>50</v>
      </c>
      <c r="L1145" s="1">
        <v>47</v>
      </c>
      <c r="M1145" s="1">
        <v>19</v>
      </c>
      <c r="N1145" s="1">
        <v>16</v>
      </c>
      <c r="O1145" s="1">
        <v>6</v>
      </c>
      <c r="P1145" s="1">
        <v>14</v>
      </c>
      <c r="Q1145" s="1">
        <v>9</v>
      </c>
      <c r="R1145" s="1">
        <v>7</v>
      </c>
      <c r="S1145" s="1">
        <v>10</v>
      </c>
      <c r="T1145" s="1">
        <v>14</v>
      </c>
      <c r="U1145" s="1">
        <v>6</v>
      </c>
      <c r="V1145" s="1">
        <v>6</v>
      </c>
    </row>
    <row r="1146" spans="1:22" x14ac:dyDescent="0.2">
      <c r="A1146" s="1" t="s">
        <v>1146</v>
      </c>
      <c r="B1146" s="1" t="s">
        <v>1152</v>
      </c>
      <c r="C1146" s="1">
        <v>0</v>
      </c>
      <c r="D1146" s="1">
        <v>0</v>
      </c>
      <c r="E1146" s="1">
        <v>0</v>
      </c>
      <c r="F1146" s="1">
        <v>0</v>
      </c>
      <c r="G1146" s="1">
        <v>0</v>
      </c>
      <c r="H1146" s="1">
        <v>0</v>
      </c>
      <c r="I1146" s="1">
        <v>0</v>
      </c>
      <c r="J1146" s="1">
        <v>0</v>
      </c>
      <c r="K1146" s="1">
        <v>0</v>
      </c>
      <c r="L1146" s="1">
        <v>0</v>
      </c>
      <c r="M1146" s="1">
        <v>4</v>
      </c>
      <c r="N1146" s="1">
        <v>4</v>
      </c>
      <c r="O1146" s="1">
        <v>6</v>
      </c>
      <c r="P1146" s="1">
        <v>1</v>
      </c>
      <c r="Q1146" s="1">
        <v>1</v>
      </c>
      <c r="R1146" s="1">
        <v>4</v>
      </c>
      <c r="S1146" s="1">
        <v>6</v>
      </c>
      <c r="T1146" s="1">
        <v>4</v>
      </c>
      <c r="U1146" s="1">
        <v>6</v>
      </c>
      <c r="V1146" s="1">
        <v>4</v>
      </c>
    </row>
    <row r="1147" spans="1:22" x14ac:dyDescent="0.2">
      <c r="A1147" s="1" t="s">
        <v>1146</v>
      </c>
      <c r="B1147" s="1" t="s">
        <v>1153</v>
      </c>
      <c r="C1147" s="1">
        <v>0</v>
      </c>
      <c r="D1147" s="1">
        <v>0</v>
      </c>
      <c r="E1147" s="1">
        <v>0</v>
      </c>
      <c r="F1147" s="1">
        <v>0</v>
      </c>
      <c r="G1147" s="1">
        <v>0</v>
      </c>
      <c r="H1147" s="1">
        <v>0</v>
      </c>
      <c r="I1147" s="1">
        <v>0</v>
      </c>
      <c r="J1147" s="1">
        <v>0</v>
      </c>
      <c r="K1147" s="1">
        <v>0</v>
      </c>
      <c r="L1147" s="1">
        <v>0</v>
      </c>
      <c r="M1147" s="1">
        <v>2</v>
      </c>
      <c r="N1147" s="1">
        <v>0</v>
      </c>
      <c r="O1147" s="1">
        <v>0</v>
      </c>
      <c r="P1147" s="1">
        <v>1</v>
      </c>
      <c r="Q1147" s="1">
        <v>1</v>
      </c>
      <c r="R1147" s="1">
        <v>0</v>
      </c>
      <c r="S1147" s="1">
        <v>1</v>
      </c>
      <c r="T1147" s="1">
        <v>2</v>
      </c>
      <c r="U1147" s="1">
        <v>2</v>
      </c>
      <c r="V1147" s="1">
        <v>0</v>
      </c>
    </row>
    <row r="1148" spans="1:22" x14ac:dyDescent="0.2">
      <c r="A1148" s="1" t="s">
        <v>1146</v>
      </c>
      <c r="B1148" s="1" t="s">
        <v>1154</v>
      </c>
      <c r="C1148" s="1">
        <v>0</v>
      </c>
      <c r="D1148" s="1">
        <v>0</v>
      </c>
      <c r="E1148" s="1">
        <v>0</v>
      </c>
      <c r="F1148" s="1">
        <v>0</v>
      </c>
      <c r="G1148" s="1">
        <v>0</v>
      </c>
      <c r="H1148" s="1">
        <v>0</v>
      </c>
      <c r="I1148" s="1">
        <v>0</v>
      </c>
      <c r="J1148" s="1">
        <v>0</v>
      </c>
      <c r="K1148" s="1">
        <v>0</v>
      </c>
      <c r="L1148" s="1">
        <v>0</v>
      </c>
      <c r="M1148" s="1">
        <v>5</v>
      </c>
      <c r="N1148" s="1">
        <v>8</v>
      </c>
      <c r="O1148" s="1">
        <v>4</v>
      </c>
      <c r="P1148" s="1">
        <v>2</v>
      </c>
      <c r="Q1148" s="1">
        <v>5</v>
      </c>
      <c r="R1148" s="1">
        <v>4</v>
      </c>
      <c r="S1148" s="1">
        <v>17</v>
      </c>
      <c r="T1148" s="1">
        <v>6</v>
      </c>
      <c r="U1148" s="1">
        <v>7</v>
      </c>
      <c r="V1148" s="1">
        <v>11</v>
      </c>
    </row>
    <row r="1149" spans="1:22" x14ac:dyDescent="0.2">
      <c r="A1149" s="1" t="s">
        <v>1146</v>
      </c>
      <c r="B1149" s="1" t="s">
        <v>1155</v>
      </c>
      <c r="C1149" s="1">
        <v>0</v>
      </c>
      <c r="D1149" s="1">
        <v>0</v>
      </c>
      <c r="E1149" s="1">
        <v>0</v>
      </c>
      <c r="F1149" s="1">
        <v>0</v>
      </c>
      <c r="G1149" s="1">
        <v>0</v>
      </c>
      <c r="H1149" s="1">
        <v>7</v>
      </c>
      <c r="I1149" s="1">
        <v>2</v>
      </c>
      <c r="J1149" s="1">
        <v>4</v>
      </c>
      <c r="K1149" s="1">
        <v>10</v>
      </c>
      <c r="L1149" s="1">
        <v>2</v>
      </c>
      <c r="M1149" s="1">
        <v>1</v>
      </c>
      <c r="N1149" s="1">
        <v>11</v>
      </c>
      <c r="O1149" s="1">
        <v>3</v>
      </c>
      <c r="P1149" s="1">
        <v>5</v>
      </c>
      <c r="Q1149" s="1">
        <v>3</v>
      </c>
      <c r="R1149" s="1">
        <v>0</v>
      </c>
      <c r="S1149" s="1">
        <v>1</v>
      </c>
      <c r="T1149" s="1">
        <v>0</v>
      </c>
      <c r="U1149" s="1">
        <v>0</v>
      </c>
      <c r="V1149" s="1">
        <v>0</v>
      </c>
    </row>
    <row r="1150" spans="1:22" x14ac:dyDescent="0.2">
      <c r="A1150" s="1" t="s">
        <v>1146</v>
      </c>
      <c r="B1150" s="1" t="s">
        <v>1156</v>
      </c>
      <c r="C1150" s="1">
        <v>0</v>
      </c>
      <c r="D1150" s="1">
        <v>0</v>
      </c>
      <c r="E1150" s="1">
        <v>0</v>
      </c>
      <c r="F1150" s="1">
        <v>0</v>
      </c>
      <c r="G1150" s="1">
        <v>0</v>
      </c>
      <c r="H1150" s="1">
        <v>0</v>
      </c>
      <c r="I1150" s="1">
        <v>0</v>
      </c>
      <c r="J1150" s="1">
        <v>0</v>
      </c>
      <c r="K1150" s="1">
        <v>0</v>
      </c>
      <c r="L1150" s="1">
        <v>611</v>
      </c>
      <c r="M1150" s="1">
        <v>772</v>
      </c>
      <c r="N1150" s="1">
        <v>549</v>
      </c>
      <c r="O1150" s="1">
        <v>297</v>
      </c>
      <c r="P1150" s="1">
        <v>452</v>
      </c>
      <c r="Q1150" s="1">
        <v>402</v>
      </c>
      <c r="R1150" s="1">
        <v>368</v>
      </c>
      <c r="S1150" s="1">
        <v>159</v>
      </c>
      <c r="T1150" s="1">
        <v>194</v>
      </c>
      <c r="U1150" s="1">
        <v>140</v>
      </c>
      <c r="V1150" s="1">
        <v>154</v>
      </c>
    </row>
    <row r="1151" spans="1:22" x14ac:dyDescent="0.2">
      <c r="A1151" s="1" t="s">
        <v>1146</v>
      </c>
      <c r="B1151" s="1" t="s">
        <v>1157</v>
      </c>
      <c r="C1151" s="1">
        <v>5385</v>
      </c>
      <c r="D1151" s="1">
        <v>5522</v>
      </c>
      <c r="E1151" s="1">
        <v>5606</v>
      </c>
      <c r="F1151" s="1">
        <v>6084</v>
      </c>
      <c r="G1151" s="1">
        <v>6531</v>
      </c>
      <c r="H1151" s="1">
        <v>6052</v>
      </c>
      <c r="I1151" s="1">
        <v>5931</v>
      </c>
      <c r="J1151" s="1">
        <v>6429</v>
      </c>
      <c r="K1151" s="1">
        <v>6750</v>
      </c>
      <c r="L1151" s="1">
        <v>6826</v>
      </c>
      <c r="M1151" s="1">
        <v>7181</v>
      </c>
      <c r="N1151" s="1">
        <v>6812</v>
      </c>
      <c r="O1151" s="1">
        <v>6177</v>
      </c>
      <c r="P1151" s="1">
        <v>6425</v>
      </c>
      <c r="Q1151" s="1">
        <v>6425</v>
      </c>
      <c r="R1151" s="1">
        <v>6421</v>
      </c>
      <c r="S1151" s="1">
        <v>5987</v>
      </c>
      <c r="T1151" s="1">
        <v>5928</v>
      </c>
      <c r="U1151" s="1">
        <v>6329</v>
      </c>
      <c r="V1151" s="1">
        <v>6576</v>
      </c>
    </row>
    <row r="1152" spans="1:22" x14ac:dyDescent="0.2">
      <c r="A1152" s="1" t="s">
        <v>1146</v>
      </c>
      <c r="B1152" s="1" t="s">
        <v>1158</v>
      </c>
      <c r="C1152" s="1">
        <v>2</v>
      </c>
      <c r="D1152" s="1">
        <v>2</v>
      </c>
      <c r="E1152" s="1">
        <v>3</v>
      </c>
      <c r="F1152" s="1">
        <v>8</v>
      </c>
      <c r="G1152" s="1">
        <v>6</v>
      </c>
      <c r="H1152" s="1">
        <v>5</v>
      </c>
      <c r="I1152" s="1">
        <v>9</v>
      </c>
      <c r="J1152" s="1">
        <v>1</v>
      </c>
      <c r="K1152" s="1">
        <v>6</v>
      </c>
      <c r="L1152" s="1">
        <v>8</v>
      </c>
      <c r="M1152" s="1">
        <v>11</v>
      </c>
      <c r="N1152" s="1">
        <v>10</v>
      </c>
      <c r="O1152" s="1">
        <v>10</v>
      </c>
      <c r="P1152" s="1">
        <v>14</v>
      </c>
      <c r="Q1152" s="1">
        <v>8</v>
      </c>
      <c r="R1152" s="1">
        <v>14</v>
      </c>
      <c r="S1152" s="1">
        <v>13</v>
      </c>
      <c r="T1152" s="1">
        <v>19</v>
      </c>
      <c r="U1152" s="1">
        <v>6</v>
      </c>
      <c r="V1152" s="1">
        <v>9</v>
      </c>
    </row>
    <row r="1153" spans="1:22" x14ac:dyDescent="0.2">
      <c r="A1153" s="1" t="s">
        <v>1146</v>
      </c>
      <c r="B1153" s="1" t="s">
        <v>1159</v>
      </c>
      <c r="C1153" s="1">
        <v>0</v>
      </c>
      <c r="D1153" s="1">
        <v>0</v>
      </c>
      <c r="E1153" s="1">
        <v>5</v>
      </c>
      <c r="F1153" s="1">
        <v>140</v>
      </c>
      <c r="G1153" s="1">
        <v>247</v>
      </c>
      <c r="H1153" s="1">
        <v>281</v>
      </c>
      <c r="I1153" s="1">
        <v>292</v>
      </c>
      <c r="J1153" s="1">
        <v>272</v>
      </c>
      <c r="K1153" s="1">
        <v>205</v>
      </c>
      <c r="L1153" s="1">
        <v>133</v>
      </c>
      <c r="M1153" s="1">
        <v>91</v>
      </c>
      <c r="N1153" s="1">
        <v>69</v>
      </c>
      <c r="O1153" s="1">
        <v>71</v>
      </c>
      <c r="P1153" s="1">
        <v>52</v>
      </c>
      <c r="Q1153" s="1">
        <v>84</v>
      </c>
      <c r="R1153" s="1">
        <v>83</v>
      </c>
      <c r="S1153" s="1">
        <v>61</v>
      </c>
      <c r="T1153" s="1">
        <v>104</v>
      </c>
      <c r="U1153" s="1">
        <v>69</v>
      </c>
      <c r="V1153" s="1">
        <v>81</v>
      </c>
    </row>
    <row r="1154" spans="1:22" x14ac:dyDescent="0.2">
      <c r="A1154" s="1" t="s">
        <v>1146</v>
      </c>
      <c r="B1154" s="1" t="s">
        <v>1160</v>
      </c>
      <c r="C1154" s="1">
        <v>0</v>
      </c>
      <c r="D1154" s="1">
        <v>0</v>
      </c>
      <c r="E1154" s="1">
        <v>0</v>
      </c>
      <c r="F1154" s="1">
        <v>0</v>
      </c>
      <c r="G1154" s="1">
        <v>0</v>
      </c>
      <c r="H1154" s="1">
        <v>0</v>
      </c>
      <c r="I1154" s="1">
        <v>0</v>
      </c>
      <c r="J1154" s="1">
        <v>0</v>
      </c>
      <c r="K1154" s="1">
        <v>0</v>
      </c>
      <c r="L1154" s="1">
        <v>3</v>
      </c>
      <c r="M1154" s="1">
        <v>13</v>
      </c>
      <c r="N1154" s="1">
        <v>76</v>
      </c>
      <c r="O1154" s="1">
        <v>2</v>
      </c>
      <c r="P1154" s="1">
        <v>40</v>
      </c>
      <c r="Q1154" s="1">
        <v>0</v>
      </c>
      <c r="R1154" s="1">
        <v>0</v>
      </c>
      <c r="S1154" s="1">
        <v>0</v>
      </c>
      <c r="T1154" s="1">
        <v>0</v>
      </c>
      <c r="U1154" s="1">
        <v>0</v>
      </c>
      <c r="V1154" s="1">
        <v>0</v>
      </c>
    </row>
    <row r="1155" spans="1:22" x14ac:dyDescent="0.2">
      <c r="A1155" s="1" t="s">
        <v>1146</v>
      </c>
      <c r="B1155" s="1" t="s">
        <v>1161</v>
      </c>
      <c r="C1155" s="1">
        <v>543</v>
      </c>
      <c r="D1155" s="1">
        <v>581</v>
      </c>
      <c r="E1155" s="1">
        <v>552</v>
      </c>
      <c r="F1155" s="1">
        <v>506</v>
      </c>
      <c r="G1155" s="1">
        <v>527</v>
      </c>
      <c r="H1155" s="1">
        <v>531</v>
      </c>
      <c r="I1155" s="1">
        <v>555</v>
      </c>
      <c r="J1155" s="1">
        <v>574</v>
      </c>
      <c r="K1155" s="1">
        <v>643</v>
      </c>
      <c r="L1155" s="1">
        <v>592</v>
      </c>
      <c r="M1155" s="1">
        <v>512</v>
      </c>
      <c r="N1155" s="1">
        <v>526</v>
      </c>
      <c r="O1155" s="1">
        <v>520</v>
      </c>
      <c r="P1155" s="1">
        <v>535</v>
      </c>
      <c r="Q1155" s="1">
        <v>572</v>
      </c>
      <c r="R1155" s="1">
        <v>594</v>
      </c>
      <c r="S1155" s="1">
        <v>547</v>
      </c>
      <c r="T1155" s="1">
        <v>627</v>
      </c>
      <c r="U1155" s="1">
        <v>597</v>
      </c>
      <c r="V1155" s="1">
        <v>595</v>
      </c>
    </row>
    <row r="1156" spans="1:22" x14ac:dyDescent="0.2">
      <c r="A1156" s="1" t="s">
        <v>1146</v>
      </c>
      <c r="B1156" s="1" t="s">
        <v>1162</v>
      </c>
      <c r="C1156" s="1">
        <v>238</v>
      </c>
      <c r="D1156" s="1">
        <v>256</v>
      </c>
      <c r="E1156" s="1">
        <v>251</v>
      </c>
      <c r="F1156" s="1">
        <v>292</v>
      </c>
      <c r="G1156" s="1">
        <v>265</v>
      </c>
      <c r="H1156" s="1">
        <v>300</v>
      </c>
      <c r="I1156" s="1">
        <v>338</v>
      </c>
      <c r="J1156" s="1">
        <v>357</v>
      </c>
      <c r="K1156" s="1">
        <v>484</v>
      </c>
      <c r="L1156" s="1">
        <v>472</v>
      </c>
      <c r="M1156" s="1">
        <v>486</v>
      </c>
      <c r="N1156" s="1">
        <v>393</v>
      </c>
      <c r="O1156" s="1">
        <v>362</v>
      </c>
      <c r="P1156" s="1">
        <v>374</v>
      </c>
      <c r="Q1156" s="1">
        <v>460</v>
      </c>
      <c r="R1156" s="1">
        <v>503</v>
      </c>
      <c r="S1156" s="1">
        <v>486</v>
      </c>
      <c r="T1156" s="1">
        <v>514</v>
      </c>
      <c r="U1156" s="1">
        <v>491</v>
      </c>
      <c r="V1156" s="1">
        <v>511</v>
      </c>
    </row>
    <row r="1157" spans="1:22" x14ac:dyDescent="0.2">
      <c r="A1157" s="1" t="s">
        <v>1146</v>
      </c>
      <c r="B1157" s="1" t="s">
        <v>1163</v>
      </c>
      <c r="C1157" s="1">
        <v>0</v>
      </c>
      <c r="D1157" s="1">
        <v>0</v>
      </c>
      <c r="V1157" s="1">
        <v>0</v>
      </c>
    </row>
    <row r="1158" spans="1:22" x14ac:dyDescent="0.2">
      <c r="A1158" s="1" t="s">
        <v>1146</v>
      </c>
      <c r="B1158" s="1" t="s">
        <v>1164</v>
      </c>
      <c r="C1158" s="1">
        <v>0</v>
      </c>
      <c r="D1158" s="1">
        <v>0</v>
      </c>
      <c r="E1158" s="1">
        <v>0</v>
      </c>
      <c r="F1158" s="1">
        <v>0</v>
      </c>
      <c r="G1158" s="1">
        <v>0</v>
      </c>
      <c r="H1158" s="1">
        <v>0</v>
      </c>
      <c r="I1158" s="1">
        <v>0</v>
      </c>
      <c r="J1158" s="1">
        <v>4</v>
      </c>
      <c r="K1158" s="1">
        <v>11</v>
      </c>
      <c r="L1158" s="1">
        <v>0</v>
      </c>
      <c r="M1158" s="1">
        <v>0</v>
      </c>
      <c r="N1158" s="1">
        <v>0</v>
      </c>
      <c r="O1158" s="1">
        <v>1</v>
      </c>
      <c r="P1158" s="1">
        <v>0</v>
      </c>
      <c r="Q1158" s="1">
        <v>0</v>
      </c>
      <c r="R1158" s="1">
        <v>0</v>
      </c>
      <c r="S1158" s="1">
        <v>0</v>
      </c>
      <c r="T1158" s="1">
        <v>0</v>
      </c>
      <c r="U1158" s="1">
        <v>0</v>
      </c>
      <c r="V1158" s="1">
        <v>0</v>
      </c>
    </row>
    <row r="1159" spans="1:22" x14ac:dyDescent="0.2">
      <c r="A1159" s="1" t="s">
        <v>1146</v>
      </c>
      <c r="B1159" s="1" t="s">
        <v>1165</v>
      </c>
      <c r="C1159" s="1">
        <v>211</v>
      </c>
      <c r="D1159" s="1">
        <v>218</v>
      </c>
      <c r="E1159" s="1">
        <v>264</v>
      </c>
      <c r="F1159" s="1">
        <v>213</v>
      </c>
      <c r="G1159" s="1">
        <v>221</v>
      </c>
      <c r="H1159" s="1">
        <v>208</v>
      </c>
      <c r="I1159" s="1">
        <v>260</v>
      </c>
      <c r="J1159" s="1">
        <v>285</v>
      </c>
      <c r="K1159" s="1">
        <v>389</v>
      </c>
      <c r="L1159" s="1">
        <v>542</v>
      </c>
      <c r="M1159" s="1">
        <v>544</v>
      </c>
      <c r="N1159" s="1">
        <v>487</v>
      </c>
      <c r="O1159" s="1">
        <v>450</v>
      </c>
      <c r="P1159" s="1">
        <v>469</v>
      </c>
      <c r="Q1159" s="1">
        <v>545</v>
      </c>
      <c r="R1159" s="1">
        <v>572</v>
      </c>
      <c r="S1159" s="1">
        <v>591</v>
      </c>
      <c r="T1159" s="1">
        <v>597</v>
      </c>
      <c r="U1159" s="1">
        <v>1106</v>
      </c>
      <c r="V1159" s="1">
        <v>615</v>
      </c>
    </row>
    <row r="1160" spans="1:22" x14ac:dyDescent="0.2">
      <c r="A1160" s="1" t="s">
        <v>1146</v>
      </c>
      <c r="B1160" s="1" t="s">
        <v>1166</v>
      </c>
      <c r="C1160" s="1">
        <v>0</v>
      </c>
      <c r="D1160" s="1">
        <v>0</v>
      </c>
      <c r="E1160" s="1">
        <v>0</v>
      </c>
      <c r="F1160" s="1">
        <v>0</v>
      </c>
      <c r="G1160" s="1">
        <v>0</v>
      </c>
      <c r="H1160" s="1">
        <v>0</v>
      </c>
      <c r="I1160" s="1">
        <v>0</v>
      </c>
      <c r="J1160" s="1">
        <v>0</v>
      </c>
      <c r="K1160" s="1">
        <v>0</v>
      </c>
      <c r="L1160" s="1">
        <v>0</v>
      </c>
      <c r="M1160" s="1">
        <v>0</v>
      </c>
      <c r="N1160" s="1">
        <v>0</v>
      </c>
      <c r="O1160" s="1">
        <v>0</v>
      </c>
      <c r="P1160" s="1">
        <v>1</v>
      </c>
      <c r="Q1160" s="1">
        <v>25</v>
      </c>
      <c r="R1160" s="1">
        <v>3</v>
      </c>
      <c r="S1160" s="1">
        <v>2</v>
      </c>
      <c r="T1160" s="1">
        <v>1</v>
      </c>
      <c r="U1160" s="1">
        <v>2</v>
      </c>
      <c r="V1160" s="1">
        <v>1</v>
      </c>
    </row>
    <row r="1161" spans="1:22" x14ac:dyDescent="0.2">
      <c r="A1161" s="1" t="s">
        <v>1146</v>
      </c>
      <c r="B1161" s="1" t="s">
        <v>1167</v>
      </c>
      <c r="C1161" s="1">
        <v>0</v>
      </c>
      <c r="D1161" s="1">
        <v>0</v>
      </c>
      <c r="E1161" s="1">
        <v>0</v>
      </c>
      <c r="F1161" s="1">
        <v>0</v>
      </c>
      <c r="G1161" s="1">
        <v>0</v>
      </c>
      <c r="H1161" s="1">
        <v>0</v>
      </c>
      <c r="I1161" s="1">
        <v>0</v>
      </c>
      <c r="J1161" s="1">
        <v>0</v>
      </c>
      <c r="K1161" s="1">
        <v>0</v>
      </c>
      <c r="L1161" s="1">
        <v>1</v>
      </c>
      <c r="M1161" s="1">
        <v>13</v>
      </c>
      <c r="N1161" s="1">
        <v>2</v>
      </c>
      <c r="O1161" s="1">
        <v>0</v>
      </c>
      <c r="P1161" s="1">
        <v>2</v>
      </c>
      <c r="Q1161" s="1">
        <v>2</v>
      </c>
      <c r="R1161" s="1">
        <v>1</v>
      </c>
      <c r="S1161" s="1">
        <v>1</v>
      </c>
      <c r="T1161" s="1">
        <v>1</v>
      </c>
      <c r="U1161" s="1">
        <v>1</v>
      </c>
      <c r="V1161" s="1">
        <v>1</v>
      </c>
    </row>
    <row r="1162" spans="1:22" x14ac:dyDescent="0.2">
      <c r="A1162" s="1" t="s">
        <v>1146</v>
      </c>
      <c r="B1162" s="1" t="s">
        <v>1168</v>
      </c>
      <c r="C1162" s="1">
        <v>6153</v>
      </c>
      <c r="D1162" s="1">
        <v>5895</v>
      </c>
      <c r="E1162" s="1">
        <v>5643</v>
      </c>
      <c r="F1162" s="1">
        <v>5980</v>
      </c>
      <c r="G1162" s="1">
        <v>5705</v>
      </c>
      <c r="H1162" s="1">
        <v>5837</v>
      </c>
      <c r="I1162" s="1">
        <v>5733</v>
      </c>
      <c r="J1162" s="1">
        <v>6405</v>
      </c>
      <c r="K1162" s="1">
        <v>7109</v>
      </c>
      <c r="L1162" s="1">
        <v>7958</v>
      </c>
      <c r="M1162" s="1">
        <v>7655</v>
      </c>
      <c r="N1162" s="1">
        <v>7195</v>
      </c>
      <c r="O1162" s="1">
        <v>6654</v>
      </c>
      <c r="P1162" s="1">
        <v>7254</v>
      </c>
      <c r="Q1162" s="1">
        <v>7109</v>
      </c>
      <c r="R1162" s="1">
        <v>7842</v>
      </c>
      <c r="S1162" s="1">
        <v>8827</v>
      </c>
      <c r="T1162" s="1">
        <v>9059</v>
      </c>
      <c r="U1162" s="1">
        <v>7741</v>
      </c>
      <c r="V1162" s="1">
        <v>7693</v>
      </c>
    </row>
    <row r="1163" spans="1:22" x14ac:dyDescent="0.2">
      <c r="A1163" s="1" t="s">
        <v>1146</v>
      </c>
      <c r="B1163" s="1" t="s">
        <v>1169</v>
      </c>
      <c r="C1163" s="1">
        <v>33</v>
      </c>
      <c r="D1163" s="1">
        <v>0</v>
      </c>
      <c r="E1163" s="1">
        <v>141</v>
      </c>
      <c r="F1163" s="1">
        <v>244</v>
      </c>
      <c r="G1163" s="1">
        <v>233</v>
      </c>
      <c r="H1163" s="1">
        <v>249</v>
      </c>
      <c r="I1163" s="1">
        <v>230</v>
      </c>
      <c r="J1163" s="1">
        <v>241</v>
      </c>
      <c r="K1163" s="1">
        <v>259</v>
      </c>
      <c r="L1163" s="1">
        <v>376</v>
      </c>
      <c r="M1163" s="1">
        <v>352</v>
      </c>
      <c r="N1163" s="1">
        <v>363</v>
      </c>
      <c r="O1163" s="1">
        <v>399</v>
      </c>
      <c r="P1163" s="1">
        <v>437</v>
      </c>
      <c r="Q1163" s="1">
        <v>384</v>
      </c>
      <c r="R1163" s="1">
        <v>503</v>
      </c>
      <c r="S1163" s="1">
        <v>558</v>
      </c>
      <c r="T1163" s="1">
        <v>549</v>
      </c>
      <c r="U1163" s="1">
        <v>472</v>
      </c>
      <c r="V1163" s="1">
        <v>589</v>
      </c>
    </row>
    <row r="1164" spans="1:22" x14ac:dyDescent="0.2">
      <c r="A1164" s="1" t="s">
        <v>1146</v>
      </c>
      <c r="B1164" s="1" t="s">
        <v>1170</v>
      </c>
      <c r="C1164" s="1">
        <v>0</v>
      </c>
      <c r="D1164" s="1">
        <v>0</v>
      </c>
      <c r="E1164" s="1">
        <v>0</v>
      </c>
      <c r="F1164" s="1">
        <v>0</v>
      </c>
      <c r="G1164" s="1">
        <v>0</v>
      </c>
      <c r="H1164" s="1">
        <v>0</v>
      </c>
      <c r="I1164" s="1">
        <v>0</v>
      </c>
      <c r="J1164" s="1">
        <v>0</v>
      </c>
      <c r="K1164" s="1">
        <v>0</v>
      </c>
      <c r="L1164" s="1">
        <v>385</v>
      </c>
      <c r="M1164" s="1">
        <v>299</v>
      </c>
      <c r="N1164" s="1">
        <v>292</v>
      </c>
      <c r="O1164" s="1">
        <v>207</v>
      </c>
      <c r="P1164" s="1">
        <v>247</v>
      </c>
      <c r="Q1164" s="1">
        <v>263</v>
      </c>
      <c r="R1164" s="1">
        <v>242</v>
      </c>
      <c r="S1164" s="1">
        <v>224</v>
      </c>
      <c r="T1164" s="1">
        <v>256</v>
      </c>
      <c r="U1164" s="1">
        <v>260</v>
      </c>
      <c r="V1164" s="1">
        <v>311</v>
      </c>
    </row>
    <row r="1165" spans="1:22" x14ac:dyDescent="0.2">
      <c r="A1165" s="1" t="s">
        <v>1146</v>
      </c>
      <c r="B1165" s="1" t="s">
        <v>1171</v>
      </c>
      <c r="C1165" s="1">
        <v>0</v>
      </c>
      <c r="D1165" s="1">
        <v>0</v>
      </c>
      <c r="E1165" s="1">
        <v>0</v>
      </c>
      <c r="F1165" s="1">
        <v>0</v>
      </c>
      <c r="G1165" s="1">
        <v>0</v>
      </c>
      <c r="H1165" s="1">
        <v>0</v>
      </c>
      <c r="I1165" s="1">
        <v>0</v>
      </c>
      <c r="J1165" s="1">
        <v>0</v>
      </c>
      <c r="K1165" s="1">
        <v>0</v>
      </c>
      <c r="L1165" s="1">
        <v>0</v>
      </c>
      <c r="M1165" s="1">
        <v>12</v>
      </c>
      <c r="N1165" s="1">
        <v>25</v>
      </c>
      <c r="O1165" s="1">
        <v>12</v>
      </c>
      <c r="P1165" s="1">
        <v>18</v>
      </c>
      <c r="Q1165" s="1">
        <v>16</v>
      </c>
      <c r="R1165" s="1">
        <v>21</v>
      </c>
      <c r="S1165" s="1">
        <v>17</v>
      </c>
      <c r="T1165" s="1">
        <v>16</v>
      </c>
      <c r="U1165" s="1">
        <v>22</v>
      </c>
      <c r="V1165" s="1">
        <v>22</v>
      </c>
    </row>
    <row r="1166" spans="1:22" x14ac:dyDescent="0.2">
      <c r="A1166" s="1" t="s">
        <v>1146</v>
      </c>
      <c r="B1166" s="1" t="s">
        <v>1172</v>
      </c>
      <c r="C1166" s="1">
        <v>1492</v>
      </c>
      <c r="D1166" s="1">
        <v>1340</v>
      </c>
      <c r="E1166" s="1">
        <v>1470</v>
      </c>
      <c r="F1166" s="1">
        <v>2241</v>
      </c>
      <c r="G1166" s="1">
        <v>2330</v>
      </c>
      <c r="H1166" s="1">
        <v>2464</v>
      </c>
      <c r="I1166" s="1">
        <v>2315</v>
      </c>
      <c r="J1166" s="1">
        <v>2674</v>
      </c>
      <c r="K1166" s="1">
        <v>3214</v>
      </c>
      <c r="L1166" s="1">
        <v>3452</v>
      </c>
      <c r="M1166" s="1">
        <v>3581</v>
      </c>
      <c r="N1166" s="1">
        <v>2840</v>
      </c>
      <c r="O1166" s="1">
        <v>2131</v>
      </c>
      <c r="P1166" s="1">
        <v>1991</v>
      </c>
      <c r="Q1166" s="1">
        <v>1947</v>
      </c>
      <c r="R1166" s="1">
        <v>1723</v>
      </c>
      <c r="S1166" s="1">
        <v>1779</v>
      </c>
      <c r="T1166" s="1">
        <v>1245</v>
      </c>
      <c r="U1166" s="1">
        <v>1285</v>
      </c>
      <c r="V1166" s="1">
        <v>1118</v>
      </c>
    </row>
    <row r="1167" spans="1:22" x14ac:dyDescent="0.2">
      <c r="A1167" s="1" t="s">
        <v>1146</v>
      </c>
      <c r="B1167" s="1" t="s">
        <v>1173</v>
      </c>
      <c r="C1167" s="1">
        <v>0</v>
      </c>
      <c r="D1167" s="1">
        <v>0</v>
      </c>
      <c r="E1167" s="1">
        <v>0</v>
      </c>
      <c r="F1167" s="1">
        <v>0</v>
      </c>
      <c r="G1167" s="1">
        <v>0</v>
      </c>
      <c r="H1167" s="1">
        <v>0</v>
      </c>
      <c r="I1167" s="1">
        <v>0</v>
      </c>
      <c r="J1167" s="1">
        <v>0</v>
      </c>
      <c r="K1167" s="1">
        <v>0</v>
      </c>
      <c r="L1167" s="1">
        <v>0</v>
      </c>
      <c r="M1167" s="1">
        <v>0</v>
      </c>
      <c r="N1167" s="1">
        <v>0</v>
      </c>
      <c r="O1167" s="1">
        <v>0</v>
      </c>
      <c r="P1167" s="1">
        <v>0</v>
      </c>
      <c r="Q1167" s="1">
        <v>39</v>
      </c>
      <c r="R1167" s="1">
        <v>27</v>
      </c>
      <c r="S1167" s="1">
        <v>38</v>
      </c>
      <c r="T1167" s="1">
        <v>61</v>
      </c>
      <c r="U1167" s="1">
        <v>53</v>
      </c>
      <c r="V1167" s="1">
        <v>67</v>
      </c>
    </row>
    <row r="1168" spans="1:22" x14ac:dyDescent="0.2">
      <c r="A1168" s="1" t="s">
        <v>1146</v>
      </c>
      <c r="B1168" s="1" t="s">
        <v>1174</v>
      </c>
      <c r="C1168" s="1">
        <v>1</v>
      </c>
      <c r="D1168" s="1">
        <v>2</v>
      </c>
      <c r="E1168" s="1">
        <v>7</v>
      </c>
      <c r="F1168" s="1">
        <v>2</v>
      </c>
      <c r="G1168" s="1">
        <v>4</v>
      </c>
      <c r="H1168" s="1">
        <v>1</v>
      </c>
      <c r="I1168" s="1">
        <v>3</v>
      </c>
      <c r="J1168" s="1">
        <v>8</v>
      </c>
      <c r="K1168" s="1">
        <v>3</v>
      </c>
      <c r="L1168" s="1">
        <v>5</v>
      </c>
      <c r="M1168" s="1">
        <v>3</v>
      </c>
      <c r="N1168" s="1">
        <v>2</v>
      </c>
      <c r="O1168" s="1">
        <v>2</v>
      </c>
      <c r="P1168" s="1">
        <v>2</v>
      </c>
      <c r="Q1168" s="1">
        <v>3</v>
      </c>
      <c r="R1168" s="1">
        <v>5</v>
      </c>
      <c r="S1168" s="1">
        <v>2</v>
      </c>
      <c r="T1168" s="1">
        <v>5</v>
      </c>
      <c r="U1168" s="1">
        <v>1</v>
      </c>
      <c r="V1168" s="1">
        <v>2</v>
      </c>
    </row>
    <row r="1169" spans="1:22" x14ac:dyDescent="0.2">
      <c r="A1169" s="1" t="s">
        <v>1146</v>
      </c>
      <c r="B1169" s="1" t="s">
        <v>1175</v>
      </c>
      <c r="C1169" s="1">
        <v>0</v>
      </c>
      <c r="D1169" s="1">
        <v>0</v>
      </c>
      <c r="E1169" s="1">
        <v>0</v>
      </c>
      <c r="F1169" s="1">
        <v>0</v>
      </c>
      <c r="G1169" s="1">
        <v>0</v>
      </c>
      <c r="H1169" s="1">
        <v>0</v>
      </c>
      <c r="I1169" s="1">
        <v>0</v>
      </c>
      <c r="J1169" s="1">
        <v>0</v>
      </c>
      <c r="K1169" s="1">
        <v>0</v>
      </c>
      <c r="L1169" s="1">
        <v>0</v>
      </c>
      <c r="M1169" s="1">
        <v>0</v>
      </c>
      <c r="N1169" s="1">
        <v>0</v>
      </c>
      <c r="O1169" s="1">
        <v>1</v>
      </c>
      <c r="P1169" s="1">
        <v>0</v>
      </c>
      <c r="Q1169" s="1">
        <v>1</v>
      </c>
      <c r="R1169" s="1">
        <v>1</v>
      </c>
      <c r="S1169" s="1">
        <v>0</v>
      </c>
      <c r="T1169" s="1">
        <v>5</v>
      </c>
      <c r="U1169" s="1">
        <v>2</v>
      </c>
      <c r="V1169" s="1">
        <v>0</v>
      </c>
    </row>
    <row r="1170" spans="1:22" x14ac:dyDescent="0.2">
      <c r="A1170" s="1" t="s">
        <v>1146</v>
      </c>
      <c r="B1170" s="1" t="s">
        <v>1176</v>
      </c>
      <c r="C1170" s="1">
        <f>SUM(C1171:C1178)</f>
        <v>701</v>
      </c>
      <c r="D1170" s="1">
        <f t="shared" ref="D1170:V1170" si="237">SUM(D1171:D1178)</f>
        <v>599</v>
      </c>
      <c r="E1170" s="1">
        <f t="shared" si="237"/>
        <v>633</v>
      </c>
      <c r="F1170" s="1">
        <f t="shared" si="237"/>
        <v>642</v>
      </c>
      <c r="G1170" s="1">
        <f t="shared" si="237"/>
        <v>581</v>
      </c>
      <c r="H1170" s="1">
        <f t="shared" si="237"/>
        <v>689</v>
      </c>
      <c r="I1170" s="1">
        <f t="shared" si="237"/>
        <v>617</v>
      </c>
      <c r="J1170" s="1">
        <f t="shared" si="237"/>
        <v>507</v>
      </c>
      <c r="K1170" s="1">
        <f t="shared" si="237"/>
        <v>531</v>
      </c>
      <c r="L1170" s="1">
        <f t="shared" si="237"/>
        <v>452</v>
      </c>
      <c r="M1170" s="1">
        <f t="shared" si="237"/>
        <v>422</v>
      </c>
      <c r="N1170" s="1">
        <f t="shared" si="237"/>
        <v>437</v>
      </c>
      <c r="O1170" s="1">
        <f t="shared" si="237"/>
        <v>417</v>
      </c>
      <c r="P1170" s="1">
        <f t="shared" si="237"/>
        <v>404</v>
      </c>
      <c r="Q1170" s="1">
        <f t="shared" si="237"/>
        <v>341</v>
      </c>
      <c r="R1170" s="1">
        <f t="shared" si="237"/>
        <v>382</v>
      </c>
      <c r="S1170" s="1">
        <f t="shared" si="237"/>
        <v>399</v>
      </c>
      <c r="T1170" s="1">
        <f t="shared" si="237"/>
        <v>309</v>
      </c>
      <c r="U1170" s="1">
        <f t="shared" si="237"/>
        <v>348</v>
      </c>
      <c r="V1170" s="1">
        <f t="shared" si="237"/>
        <v>349</v>
      </c>
    </row>
    <row r="1171" spans="1:22" x14ac:dyDescent="0.2">
      <c r="A1171" s="1" t="s">
        <v>1146</v>
      </c>
      <c r="B1171" s="1" t="s">
        <v>1177</v>
      </c>
      <c r="C1171" s="1">
        <v>58</v>
      </c>
      <c r="D1171" s="1">
        <v>52</v>
      </c>
      <c r="E1171" s="1">
        <v>41</v>
      </c>
      <c r="F1171" s="1">
        <v>41</v>
      </c>
      <c r="G1171" s="1">
        <v>56</v>
      </c>
      <c r="H1171" s="1">
        <v>77</v>
      </c>
      <c r="I1171" s="1">
        <v>44</v>
      </c>
      <c r="J1171" s="1">
        <v>19</v>
      </c>
      <c r="K1171" s="1">
        <v>46</v>
      </c>
      <c r="L1171" s="1">
        <v>35</v>
      </c>
      <c r="M1171" s="1">
        <v>51</v>
      </c>
      <c r="N1171" s="1">
        <v>46</v>
      </c>
      <c r="O1171" s="1">
        <v>52</v>
      </c>
      <c r="P1171" s="1">
        <v>68</v>
      </c>
      <c r="Q1171" s="1">
        <v>44</v>
      </c>
      <c r="R1171" s="1">
        <v>47</v>
      </c>
      <c r="S1171" s="1">
        <v>49</v>
      </c>
      <c r="T1171" s="1">
        <v>63</v>
      </c>
      <c r="U1171" s="1">
        <v>66</v>
      </c>
      <c r="V1171" s="1">
        <v>63</v>
      </c>
    </row>
    <row r="1172" spans="1:22" x14ac:dyDescent="0.2">
      <c r="A1172" s="1" t="s">
        <v>1146</v>
      </c>
      <c r="B1172" s="1" t="s">
        <v>1178</v>
      </c>
      <c r="C1172" s="1">
        <v>99</v>
      </c>
      <c r="D1172" s="1">
        <v>78</v>
      </c>
      <c r="E1172" s="1">
        <v>111</v>
      </c>
      <c r="F1172" s="1">
        <v>85</v>
      </c>
      <c r="G1172" s="1">
        <v>55</v>
      </c>
      <c r="H1172" s="1">
        <v>49</v>
      </c>
      <c r="I1172" s="1">
        <v>29</v>
      </c>
      <c r="J1172" s="1">
        <v>15</v>
      </c>
      <c r="K1172" s="1">
        <v>47</v>
      </c>
      <c r="L1172" s="1">
        <v>44</v>
      </c>
      <c r="M1172" s="1">
        <v>63</v>
      </c>
      <c r="N1172" s="1">
        <v>40</v>
      </c>
      <c r="O1172" s="1">
        <v>47</v>
      </c>
      <c r="P1172" s="1">
        <v>51</v>
      </c>
      <c r="Q1172" s="1">
        <v>53</v>
      </c>
      <c r="R1172" s="1">
        <v>58</v>
      </c>
      <c r="S1172" s="1">
        <v>46</v>
      </c>
      <c r="T1172" s="1">
        <v>54</v>
      </c>
      <c r="U1172" s="1">
        <v>95</v>
      </c>
      <c r="V1172" s="1">
        <v>95</v>
      </c>
    </row>
    <row r="1173" spans="1:22" x14ac:dyDescent="0.2">
      <c r="A1173" s="1" t="s">
        <v>1146</v>
      </c>
      <c r="B1173" s="1" t="s">
        <v>1179</v>
      </c>
      <c r="C1173" s="1">
        <v>0</v>
      </c>
      <c r="D1173" s="1">
        <v>0</v>
      </c>
      <c r="E1173" s="1">
        <v>0</v>
      </c>
      <c r="F1173" s="1">
        <v>0</v>
      </c>
      <c r="G1173" s="1">
        <v>0</v>
      </c>
      <c r="H1173" s="1">
        <v>0</v>
      </c>
      <c r="I1173" s="1">
        <v>0</v>
      </c>
      <c r="J1173" s="1">
        <v>0</v>
      </c>
      <c r="K1173" s="1">
        <v>0</v>
      </c>
      <c r="L1173" s="1">
        <v>0</v>
      </c>
      <c r="M1173" s="1">
        <v>0</v>
      </c>
      <c r="N1173" s="1">
        <v>0</v>
      </c>
      <c r="O1173" s="1">
        <v>0</v>
      </c>
      <c r="P1173" s="1">
        <v>0</v>
      </c>
      <c r="Q1173" s="1">
        <v>12</v>
      </c>
      <c r="R1173" s="1">
        <v>0</v>
      </c>
      <c r="S1173" s="1">
        <v>0</v>
      </c>
      <c r="T1173" s="1">
        <v>0</v>
      </c>
      <c r="U1173" s="1">
        <v>0</v>
      </c>
      <c r="V1173" s="1">
        <v>0</v>
      </c>
    </row>
    <row r="1174" spans="1:22" x14ac:dyDescent="0.2">
      <c r="A1174" s="1" t="s">
        <v>1146</v>
      </c>
      <c r="B1174" s="1" t="s">
        <v>1180</v>
      </c>
      <c r="C1174" s="1">
        <v>544</v>
      </c>
      <c r="D1174" s="1">
        <v>469</v>
      </c>
      <c r="E1174" s="1">
        <v>447</v>
      </c>
      <c r="F1174" s="1">
        <v>466</v>
      </c>
      <c r="G1174" s="1">
        <v>470</v>
      </c>
      <c r="H1174" s="1">
        <v>531</v>
      </c>
      <c r="I1174" s="1">
        <v>510</v>
      </c>
      <c r="J1174" s="1">
        <v>436</v>
      </c>
      <c r="K1174" s="1">
        <v>385</v>
      </c>
      <c r="L1174" s="1">
        <v>346</v>
      </c>
      <c r="M1174" s="1">
        <v>282</v>
      </c>
      <c r="N1174" s="1">
        <v>330</v>
      </c>
      <c r="O1174" s="1">
        <v>313</v>
      </c>
      <c r="P1174" s="1">
        <v>277</v>
      </c>
      <c r="Q1174" s="1">
        <v>226</v>
      </c>
      <c r="R1174" s="1">
        <v>252</v>
      </c>
      <c r="S1174" s="1">
        <v>293</v>
      </c>
      <c r="T1174" s="1">
        <v>178</v>
      </c>
      <c r="U1174" s="1">
        <v>170</v>
      </c>
      <c r="V1174" s="1">
        <v>187</v>
      </c>
    </row>
    <row r="1175" spans="1:22" x14ac:dyDescent="0.2">
      <c r="A1175" s="1" t="s">
        <v>1146</v>
      </c>
      <c r="B1175" s="1" t="s">
        <v>1181</v>
      </c>
      <c r="C1175" s="1">
        <v>0</v>
      </c>
      <c r="D1175" s="1">
        <v>0</v>
      </c>
      <c r="E1175" s="1">
        <v>0</v>
      </c>
      <c r="F1175" s="1">
        <v>0</v>
      </c>
      <c r="G1175" s="1">
        <v>0</v>
      </c>
      <c r="H1175" s="1">
        <v>0</v>
      </c>
      <c r="I1175" s="1">
        <v>0</v>
      </c>
      <c r="J1175" s="1">
        <v>0</v>
      </c>
      <c r="K1175" s="1">
        <v>0</v>
      </c>
      <c r="L1175" s="1">
        <v>0</v>
      </c>
      <c r="M1175" s="1">
        <v>0</v>
      </c>
      <c r="N1175" s="1">
        <v>0</v>
      </c>
      <c r="O1175" s="1">
        <v>0</v>
      </c>
      <c r="P1175" s="1">
        <v>5</v>
      </c>
      <c r="Q1175" s="1">
        <v>5</v>
      </c>
      <c r="R1175" s="1">
        <v>0</v>
      </c>
      <c r="S1175" s="1">
        <v>4</v>
      </c>
      <c r="T1175" s="1">
        <v>4</v>
      </c>
      <c r="U1175" s="1">
        <v>4</v>
      </c>
      <c r="V1175" s="1">
        <v>0</v>
      </c>
    </row>
    <row r="1176" spans="1:22" x14ac:dyDescent="0.2">
      <c r="A1176" s="1" t="s">
        <v>1146</v>
      </c>
      <c r="B1176" s="1" t="s">
        <v>1182</v>
      </c>
      <c r="C1176" s="1">
        <v>0</v>
      </c>
      <c r="D1176" s="1">
        <v>0</v>
      </c>
      <c r="E1176" s="1">
        <v>0</v>
      </c>
      <c r="F1176" s="1">
        <v>0</v>
      </c>
      <c r="G1176" s="1">
        <v>0</v>
      </c>
      <c r="H1176" s="1">
        <v>0</v>
      </c>
      <c r="I1176" s="1">
        <v>0</v>
      </c>
      <c r="J1176" s="1">
        <v>0</v>
      </c>
      <c r="K1176" s="1">
        <v>0</v>
      </c>
      <c r="L1176" s="1">
        <v>0</v>
      </c>
      <c r="M1176" s="1">
        <v>0</v>
      </c>
      <c r="N1176" s="1">
        <v>0</v>
      </c>
      <c r="O1176" s="1">
        <v>0</v>
      </c>
      <c r="P1176" s="1">
        <v>2</v>
      </c>
      <c r="Q1176" s="1">
        <v>1</v>
      </c>
      <c r="R1176" s="1">
        <v>0</v>
      </c>
      <c r="S1176" s="1">
        <v>2</v>
      </c>
      <c r="T1176" s="1">
        <v>5</v>
      </c>
      <c r="U1176" s="1">
        <v>1</v>
      </c>
      <c r="V1176" s="1">
        <v>0</v>
      </c>
    </row>
    <row r="1177" spans="1:22" x14ac:dyDescent="0.2">
      <c r="A1177" s="1" t="s">
        <v>1146</v>
      </c>
      <c r="B1177" s="1" t="s">
        <v>1183</v>
      </c>
      <c r="C1177" s="1">
        <v>0</v>
      </c>
      <c r="D1177" s="1">
        <v>0</v>
      </c>
      <c r="E1177" s="1">
        <v>0</v>
      </c>
      <c r="F1177" s="1">
        <v>0</v>
      </c>
      <c r="G1177" s="1">
        <v>0</v>
      </c>
      <c r="H1177" s="1">
        <v>0</v>
      </c>
      <c r="I1177" s="1">
        <v>0</v>
      </c>
      <c r="J1177" s="1">
        <v>0</v>
      </c>
      <c r="K1177" s="1">
        <v>0</v>
      </c>
      <c r="L1177" s="1">
        <v>0</v>
      </c>
      <c r="M1177" s="1">
        <v>0</v>
      </c>
      <c r="N1177" s="1">
        <v>0</v>
      </c>
      <c r="O1177" s="1">
        <v>0</v>
      </c>
      <c r="P1177" s="1">
        <v>1</v>
      </c>
      <c r="Q1177" s="1">
        <v>0</v>
      </c>
      <c r="R1177" s="1">
        <v>0</v>
      </c>
      <c r="S1177" s="1">
        <v>0</v>
      </c>
      <c r="T1177" s="1">
        <v>5</v>
      </c>
      <c r="U1177" s="1">
        <v>0</v>
      </c>
      <c r="V1177" s="1">
        <v>0</v>
      </c>
    </row>
    <row r="1178" spans="1:22" x14ac:dyDescent="0.2">
      <c r="A1178" s="1" t="s">
        <v>1146</v>
      </c>
      <c r="B1178" s="1" t="s">
        <v>1184</v>
      </c>
      <c r="C1178" s="1">
        <v>0</v>
      </c>
      <c r="D1178" s="1">
        <v>0</v>
      </c>
      <c r="E1178" s="1">
        <v>34</v>
      </c>
      <c r="F1178" s="1">
        <v>50</v>
      </c>
      <c r="G1178" s="1">
        <v>0</v>
      </c>
      <c r="H1178" s="1">
        <v>32</v>
      </c>
      <c r="I1178" s="1">
        <v>34</v>
      </c>
      <c r="J1178" s="1">
        <v>37</v>
      </c>
      <c r="K1178" s="1">
        <v>53</v>
      </c>
      <c r="L1178" s="1">
        <v>27</v>
      </c>
      <c r="M1178" s="1">
        <v>26</v>
      </c>
      <c r="N1178" s="1">
        <v>21</v>
      </c>
      <c r="O1178" s="1">
        <v>5</v>
      </c>
      <c r="P1178" s="1">
        <v>0</v>
      </c>
      <c r="Q1178" s="1">
        <v>0</v>
      </c>
      <c r="R1178" s="1">
        <v>25</v>
      </c>
      <c r="S1178" s="1">
        <v>5</v>
      </c>
      <c r="U1178" s="1">
        <v>12</v>
      </c>
      <c r="V1178" s="1">
        <v>4</v>
      </c>
    </row>
    <row r="1179" spans="1:22" x14ac:dyDescent="0.2">
      <c r="A1179" s="1" t="s">
        <v>1146</v>
      </c>
      <c r="B1179" s="1" t="s">
        <v>1185</v>
      </c>
      <c r="C1179" s="1">
        <f>SUM(C1180:C1211)</f>
        <v>3695</v>
      </c>
      <c r="D1179" s="1">
        <f>SUM(D1180:D1211)</f>
        <v>4441</v>
      </c>
      <c r="E1179" s="1">
        <f>SUM(E1180:E1211)</f>
        <v>4644</v>
      </c>
      <c r="F1179" s="1">
        <f>SUM(F1180:F1211)</f>
        <v>5296</v>
      </c>
      <c r="G1179" s="1">
        <f t="shared" ref="G1179:R1179" si="238">SUM(G1180:G1211)</f>
        <v>5708</v>
      </c>
      <c r="H1179" s="1">
        <f t="shared" si="238"/>
        <v>5178</v>
      </c>
      <c r="I1179" s="1">
        <f t="shared" si="238"/>
        <v>4982</v>
      </c>
      <c r="J1179" s="1">
        <f t="shared" si="238"/>
        <v>5333</v>
      </c>
      <c r="K1179" s="1">
        <f t="shared" si="238"/>
        <v>5643</v>
      </c>
      <c r="L1179" s="1">
        <f t="shared" si="238"/>
        <v>6502</v>
      </c>
      <c r="M1179" s="1">
        <f t="shared" si="238"/>
        <v>6511</v>
      </c>
      <c r="N1179" s="1">
        <f t="shared" si="238"/>
        <v>6503</v>
      </c>
      <c r="O1179" s="1">
        <f t="shared" si="238"/>
        <v>6250</v>
      </c>
      <c r="P1179" s="1">
        <f t="shared" si="238"/>
        <v>6922</v>
      </c>
      <c r="Q1179" s="1">
        <f t="shared" si="238"/>
        <v>6857</v>
      </c>
      <c r="R1179" s="1">
        <f t="shared" si="238"/>
        <v>6811</v>
      </c>
      <c r="S1179" s="1">
        <f>SUM(S1180:S1211)</f>
        <v>6900</v>
      </c>
      <c r="T1179" s="1">
        <f>SUM(T1180:T1211)</f>
        <v>8569</v>
      </c>
      <c r="U1179" s="1">
        <f>SUM(U1180:U1211)</f>
        <v>10368</v>
      </c>
      <c r="V1179" s="1">
        <f>SUM(V1180:V1211)</f>
        <v>12348</v>
      </c>
    </row>
    <row r="1180" spans="1:22" x14ac:dyDescent="0.2">
      <c r="A1180" s="1" t="s">
        <v>1146</v>
      </c>
      <c r="B1180" s="1" t="s">
        <v>1186</v>
      </c>
      <c r="C1180" s="1">
        <v>1434</v>
      </c>
      <c r="D1180" s="1">
        <v>1312</v>
      </c>
      <c r="E1180" s="1">
        <v>729</v>
      </c>
      <c r="F1180" s="1">
        <v>703</v>
      </c>
      <c r="G1180" s="1">
        <v>624</v>
      </c>
      <c r="H1180" s="1">
        <v>0</v>
      </c>
      <c r="I1180" s="1">
        <v>0</v>
      </c>
      <c r="J1180" s="1">
        <v>0</v>
      </c>
      <c r="K1180" s="1">
        <v>0</v>
      </c>
      <c r="L1180" s="1">
        <v>0</v>
      </c>
      <c r="M1180" s="1">
        <v>0</v>
      </c>
      <c r="N1180" s="1">
        <v>0</v>
      </c>
      <c r="O1180" s="1">
        <v>0</v>
      </c>
      <c r="P1180" s="1">
        <v>0</v>
      </c>
      <c r="Q1180" s="1">
        <v>0</v>
      </c>
      <c r="R1180" s="1">
        <v>0</v>
      </c>
      <c r="S1180" s="1">
        <v>0</v>
      </c>
      <c r="T1180" s="1">
        <v>0</v>
      </c>
      <c r="U1180" s="1">
        <v>0</v>
      </c>
      <c r="V1180" s="1">
        <v>0</v>
      </c>
    </row>
    <row r="1181" spans="1:22" x14ac:dyDescent="0.2">
      <c r="A1181" s="1" t="s">
        <v>1146</v>
      </c>
      <c r="B1181" s="1" t="s">
        <v>1187</v>
      </c>
      <c r="C1181" s="1">
        <v>98</v>
      </c>
      <c r="D1181" s="1">
        <v>10</v>
      </c>
      <c r="E1181" s="1">
        <v>42</v>
      </c>
      <c r="F1181" s="1">
        <v>5</v>
      </c>
      <c r="G1181" s="1">
        <v>7</v>
      </c>
      <c r="H1181" s="1">
        <v>0</v>
      </c>
      <c r="I1181" s="1">
        <v>0</v>
      </c>
      <c r="J1181" s="1">
        <v>0</v>
      </c>
      <c r="K1181" s="1">
        <v>0</v>
      </c>
      <c r="L1181" s="1">
        <v>0</v>
      </c>
      <c r="M1181" s="1">
        <v>0</v>
      </c>
      <c r="N1181" s="1">
        <v>0</v>
      </c>
      <c r="O1181" s="1">
        <v>0</v>
      </c>
      <c r="P1181" s="1">
        <v>0</v>
      </c>
      <c r="Q1181" s="1">
        <v>0</v>
      </c>
      <c r="R1181" s="1">
        <v>0</v>
      </c>
      <c r="S1181" s="1">
        <v>0</v>
      </c>
      <c r="T1181" s="1">
        <v>0</v>
      </c>
      <c r="U1181" s="1">
        <v>0</v>
      </c>
      <c r="V1181" s="1">
        <v>0</v>
      </c>
    </row>
    <row r="1182" spans="1:22" x14ac:dyDescent="0.2">
      <c r="A1182" s="1" t="s">
        <v>1146</v>
      </c>
      <c r="B1182" s="1" t="s">
        <v>1188</v>
      </c>
      <c r="C1182" s="1">
        <v>54</v>
      </c>
      <c r="D1182" s="1">
        <v>47</v>
      </c>
      <c r="E1182" s="1">
        <v>103</v>
      </c>
      <c r="F1182" s="1">
        <v>148</v>
      </c>
      <c r="G1182" s="1">
        <v>181</v>
      </c>
      <c r="H1182" s="1">
        <v>253</v>
      </c>
      <c r="I1182" s="1">
        <v>315</v>
      </c>
      <c r="J1182" s="1">
        <v>297</v>
      </c>
      <c r="K1182" s="1">
        <v>259</v>
      </c>
      <c r="L1182" s="1">
        <v>361</v>
      </c>
      <c r="M1182" s="1">
        <v>363</v>
      </c>
      <c r="N1182" s="1">
        <v>396</v>
      </c>
      <c r="O1182" s="1">
        <v>410</v>
      </c>
      <c r="P1182" s="1">
        <v>425</v>
      </c>
      <c r="Q1182" s="1">
        <v>337</v>
      </c>
      <c r="R1182" s="1">
        <v>547</v>
      </c>
      <c r="S1182" s="1">
        <v>446</v>
      </c>
      <c r="T1182" s="1">
        <v>578</v>
      </c>
      <c r="U1182" s="1">
        <v>288</v>
      </c>
      <c r="V1182" s="1">
        <v>766</v>
      </c>
    </row>
    <row r="1183" spans="1:22" x14ac:dyDescent="0.2">
      <c r="A1183" s="1" t="s">
        <v>1146</v>
      </c>
      <c r="B1183" s="1" t="s">
        <v>1189</v>
      </c>
      <c r="C1183" s="1">
        <v>0</v>
      </c>
      <c r="D1183" s="1">
        <v>37</v>
      </c>
      <c r="E1183" s="1">
        <v>73</v>
      </c>
      <c r="F1183" s="1">
        <v>83</v>
      </c>
      <c r="G1183" s="1">
        <v>58</v>
      </c>
      <c r="H1183" s="1">
        <v>143</v>
      </c>
      <c r="I1183" s="1">
        <v>112</v>
      </c>
      <c r="J1183" s="1">
        <v>104</v>
      </c>
      <c r="K1183" s="1">
        <v>98</v>
      </c>
      <c r="L1183" s="1">
        <v>127</v>
      </c>
      <c r="M1183" s="1">
        <v>130</v>
      </c>
      <c r="N1183" s="1">
        <v>97</v>
      </c>
      <c r="O1183" s="1">
        <v>69</v>
      </c>
      <c r="P1183" s="1">
        <v>37</v>
      </c>
      <c r="Q1183" s="1">
        <v>64</v>
      </c>
      <c r="R1183" s="1">
        <v>57</v>
      </c>
      <c r="S1183" s="1">
        <v>44</v>
      </c>
      <c r="T1183" s="1">
        <v>20</v>
      </c>
      <c r="U1183" s="1">
        <v>0</v>
      </c>
      <c r="V1183" s="1">
        <v>18</v>
      </c>
    </row>
    <row r="1184" spans="1:22" x14ac:dyDescent="0.2">
      <c r="A1184" s="1" t="s">
        <v>1146</v>
      </c>
      <c r="B1184" s="1" t="s">
        <v>1190</v>
      </c>
      <c r="C1184" s="1">
        <v>39</v>
      </c>
      <c r="D1184" s="1">
        <v>314</v>
      </c>
      <c r="E1184" s="1">
        <v>598</v>
      </c>
      <c r="F1184" s="1">
        <v>350</v>
      </c>
      <c r="G1184" s="1">
        <v>371</v>
      </c>
      <c r="H1184" s="1">
        <v>315</v>
      </c>
      <c r="I1184" s="1">
        <v>526</v>
      </c>
      <c r="J1184" s="1">
        <v>458</v>
      </c>
      <c r="K1184" s="1">
        <v>600</v>
      </c>
      <c r="L1184" s="1">
        <v>448</v>
      </c>
      <c r="M1184" s="1">
        <v>363</v>
      </c>
      <c r="N1184" s="1">
        <v>300</v>
      </c>
      <c r="O1184" s="1">
        <v>275</v>
      </c>
      <c r="P1184" s="1">
        <v>278</v>
      </c>
      <c r="Q1184" s="1">
        <v>319</v>
      </c>
      <c r="R1184" s="1">
        <v>344</v>
      </c>
      <c r="S1184" s="1">
        <v>246</v>
      </c>
      <c r="T1184" s="1">
        <v>89</v>
      </c>
      <c r="U1184" s="1">
        <v>10</v>
      </c>
      <c r="V1184" s="1">
        <v>50</v>
      </c>
    </row>
    <row r="1185" spans="1:22" x14ac:dyDescent="0.2">
      <c r="A1185" s="1" t="s">
        <v>1146</v>
      </c>
      <c r="B1185" s="1" t="s">
        <v>1191</v>
      </c>
      <c r="C1185" s="1">
        <v>90</v>
      </c>
      <c r="D1185" s="1">
        <v>438</v>
      </c>
      <c r="E1185" s="1">
        <v>805</v>
      </c>
      <c r="F1185" s="1">
        <v>1433</v>
      </c>
      <c r="G1185" s="1">
        <v>1708</v>
      </c>
      <c r="H1185" s="1">
        <v>1980</v>
      </c>
      <c r="I1185" s="1">
        <v>1805</v>
      </c>
      <c r="J1185" s="1">
        <v>1909</v>
      </c>
      <c r="K1185" s="1">
        <v>2072</v>
      </c>
      <c r="L1185" s="1">
        <v>2380</v>
      </c>
      <c r="M1185" s="1">
        <v>2739</v>
      </c>
      <c r="N1185" s="1">
        <v>2641</v>
      </c>
      <c r="O1185" s="1">
        <v>2606</v>
      </c>
      <c r="P1185" s="1">
        <v>2956</v>
      </c>
      <c r="Q1185" s="1">
        <v>2782</v>
      </c>
      <c r="R1185" s="1">
        <v>2623</v>
      </c>
      <c r="S1185" s="1">
        <v>2826</v>
      </c>
      <c r="T1185" s="1">
        <v>3536</v>
      </c>
      <c r="U1185" s="1">
        <v>3687</v>
      </c>
      <c r="V1185" s="1">
        <v>4562</v>
      </c>
    </row>
    <row r="1186" spans="1:22" x14ac:dyDescent="0.2">
      <c r="A1186" s="1" t="s">
        <v>1146</v>
      </c>
      <c r="B1186" s="1" t="s">
        <v>1192</v>
      </c>
      <c r="C1186" s="1">
        <v>1</v>
      </c>
      <c r="D1186" s="1">
        <v>0</v>
      </c>
      <c r="E1186" s="1">
        <v>0</v>
      </c>
      <c r="F1186" s="1">
        <v>60</v>
      </c>
      <c r="G1186" s="1">
        <v>0</v>
      </c>
      <c r="H1186" s="1">
        <v>0</v>
      </c>
      <c r="I1186" s="1">
        <v>0</v>
      </c>
      <c r="J1186" s="1">
        <v>0</v>
      </c>
      <c r="K1186" s="1">
        <v>0</v>
      </c>
      <c r="L1186" s="1">
        <v>0</v>
      </c>
      <c r="M1186" s="1">
        <v>0</v>
      </c>
      <c r="N1186" s="1">
        <v>0</v>
      </c>
      <c r="O1186" s="1">
        <v>0</v>
      </c>
      <c r="P1186" s="1">
        <v>0</v>
      </c>
      <c r="Q1186" s="1">
        <v>44</v>
      </c>
      <c r="R1186" s="1">
        <v>38</v>
      </c>
      <c r="S1186" s="1">
        <v>23</v>
      </c>
      <c r="T1186" s="1">
        <v>42</v>
      </c>
      <c r="U1186" s="1">
        <v>38</v>
      </c>
      <c r="V1186" s="1">
        <v>45</v>
      </c>
    </row>
    <row r="1187" spans="1:22" x14ac:dyDescent="0.2">
      <c r="A1187" s="1" t="s">
        <v>1146</v>
      </c>
      <c r="B1187" s="1" t="s">
        <v>1193</v>
      </c>
      <c r="C1187" s="1">
        <v>4</v>
      </c>
      <c r="D1187" s="1">
        <v>0</v>
      </c>
      <c r="E1187" s="1">
        <v>0</v>
      </c>
      <c r="F1187" s="1">
        <v>0</v>
      </c>
      <c r="G1187" s="1">
        <v>0</v>
      </c>
      <c r="H1187" s="1">
        <v>0</v>
      </c>
      <c r="I1187" s="1">
        <v>0</v>
      </c>
      <c r="J1187" s="1">
        <v>0</v>
      </c>
      <c r="K1187" s="1">
        <v>0</v>
      </c>
      <c r="L1187" s="1">
        <v>0</v>
      </c>
      <c r="M1187" s="1">
        <v>0</v>
      </c>
      <c r="N1187" s="1">
        <v>0</v>
      </c>
      <c r="O1187" s="1">
        <v>0</v>
      </c>
      <c r="P1187" s="1">
        <v>0</v>
      </c>
      <c r="Q1187" s="1">
        <v>14</v>
      </c>
      <c r="R1187" s="1">
        <v>0</v>
      </c>
      <c r="S1187" s="1">
        <v>0</v>
      </c>
      <c r="T1187" s="1">
        <v>0</v>
      </c>
      <c r="U1187" s="1">
        <v>0</v>
      </c>
      <c r="V1187" s="1">
        <v>0</v>
      </c>
    </row>
    <row r="1188" spans="1:22" x14ac:dyDescent="0.2">
      <c r="A1188" s="1" t="s">
        <v>1146</v>
      </c>
      <c r="B1188" s="1" t="s">
        <v>1194</v>
      </c>
      <c r="C1188" s="1">
        <v>0</v>
      </c>
      <c r="D1188" s="1">
        <v>0</v>
      </c>
      <c r="E1188" s="1">
        <v>0</v>
      </c>
      <c r="F1188" s="1">
        <v>0</v>
      </c>
      <c r="G1188" s="1">
        <v>0</v>
      </c>
      <c r="H1188" s="1">
        <v>0</v>
      </c>
      <c r="I1188" s="1">
        <v>0</v>
      </c>
      <c r="J1188" s="1">
        <v>0</v>
      </c>
      <c r="K1188" s="1">
        <v>0</v>
      </c>
      <c r="L1188" s="1">
        <v>14</v>
      </c>
      <c r="M1188" s="1">
        <v>23</v>
      </c>
      <c r="N1188" s="1">
        <v>37</v>
      </c>
      <c r="O1188" s="1">
        <v>12</v>
      </c>
      <c r="P1188" s="1">
        <v>9</v>
      </c>
      <c r="Q1188" s="1">
        <v>18</v>
      </c>
      <c r="R1188" s="1">
        <v>9</v>
      </c>
      <c r="S1188" s="1">
        <v>7</v>
      </c>
      <c r="T1188" s="1">
        <v>4</v>
      </c>
      <c r="U1188" s="1">
        <v>158</v>
      </c>
      <c r="V1188" s="1">
        <v>138</v>
      </c>
    </row>
    <row r="1189" spans="1:22" x14ac:dyDescent="0.2">
      <c r="A1189" s="1" t="s">
        <v>1146</v>
      </c>
      <c r="B1189" s="1" t="s">
        <v>1195</v>
      </c>
      <c r="C1189" s="1">
        <v>182</v>
      </c>
      <c r="D1189" s="1">
        <v>172</v>
      </c>
      <c r="E1189" s="1">
        <v>153</v>
      </c>
      <c r="F1189" s="1">
        <v>178</v>
      </c>
      <c r="G1189" s="1">
        <v>170</v>
      </c>
      <c r="H1189" s="1">
        <v>115</v>
      </c>
      <c r="I1189" s="1">
        <v>109</v>
      </c>
      <c r="J1189" s="1">
        <v>108</v>
      </c>
      <c r="K1189" s="1">
        <v>81</v>
      </c>
      <c r="L1189" s="1">
        <v>57</v>
      </c>
      <c r="M1189" s="1">
        <v>50</v>
      </c>
      <c r="N1189" s="1">
        <v>53</v>
      </c>
      <c r="O1189" s="1">
        <v>46</v>
      </c>
      <c r="P1189" s="1">
        <v>34</v>
      </c>
      <c r="Q1189" s="1">
        <v>46</v>
      </c>
      <c r="R1189" s="1">
        <v>47</v>
      </c>
      <c r="S1189" s="1">
        <v>18</v>
      </c>
      <c r="T1189" s="1">
        <v>6</v>
      </c>
      <c r="U1189" s="1">
        <v>0</v>
      </c>
      <c r="V1189" s="1">
        <v>40</v>
      </c>
    </row>
    <row r="1190" spans="1:22" x14ac:dyDescent="0.2">
      <c r="A1190" s="1" t="s">
        <v>1146</v>
      </c>
      <c r="B1190" s="1" t="s">
        <v>1196</v>
      </c>
      <c r="C1190" s="1">
        <v>3</v>
      </c>
      <c r="D1190" s="1">
        <v>6</v>
      </c>
      <c r="E1190" s="1">
        <v>19</v>
      </c>
      <c r="F1190" s="1">
        <v>46</v>
      </c>
      <c r="G1190" s="1">
        <v>31</v>
      </c>
      <c r="H1190" s="1">
        <v>26</v>
      </c>
      <c r="I1190" s="1">
        <v>41</v>
      </c>
      <c r="J1190" s="1">
        <v>60</v>
      </c>
      <c r="K1190" s="1">
        <v>52</v>
      </c>
      <c r="L1190" s="1">
        <v>59</v>
      </c>
      <c r="M1190" s="1">
        <v>60</v>
      </c>
      <c r="N1190" s="1">
        <v>68</v>
      </c>
      <c r="O1190" s="1">
        <v>82</v>
      </c>
      <c r="P1190" s="1">
        <v>117</v>
      </c>
      <c r="Q1190" s="1">
        <v>166</v>
      </c>
      <c r="R1190" s="1">
        <v>159</v>
      </c>
      <c r="S1190" s="1">
        <v>164</v>
      </c>
      <c r="T1190" s="1">
        <v>180</v>
      </c>
      <c r="U1190" s="1">
        <v>198</v>
      </c>
      <c r="V1190" s="1">
        <v>251</v>
      </c>
    </row>
    <row r="1191" spans="1:22" x14ac:dyDescent="0.2">
      <c r="A1191" s="1" t="s">
        <v>1146</v>
      </c>
      <c r="B1191" s="1" t="s">
        <v>1197</v>
      </c>
      <c r="C1191" s="1">
        <v>1</v>
      </c>
      <c r="D1191" s="1">
        <v>3</v>
      </c>
      <c r="E1191" s="1">
        <v>12</v>
      </c>
      <c r="F1191" s="1">
        <v>2</v>
      </c>
      <c r="G1191" s="1">
        <v>3</v>
      </c>
      <c r="H1191" s="1">
        <v>17</v>
      </c>
      <c r="I1191" s="1">
        <v>11</v>
      </c>
      <c r="J1191" s="1">
        <v>16</v>
      </c>
      <c r="K1191" s="1">
        <v>11</v>
      </c>
      <c r="L1191" s="1">
        <v>11</v>
      </c>
      <c r="M1191" s="1">
        <v>12</v>
      </c>
      <c r="N1191" s="1">
        <v>16</v>
      </c>
      <c r="O1191" s="1">
        <v>11</v>
      </c>
      <c r="P1191" s="1">
        <v>13</v>
      </c>
      <c r="Q1191" s="1">
        <v>24</v>
      </c>
      <c r="R1191" s="1">
        <v>11</v>
      </c>
      <c r="S1191" s="1">
        <v>13</v>
      </c>
      <c r="T1191" s="1">
        <v>18</v>
      </c>
      <c r="U1191" s="1">
        <v>28</v>
      </c>
      <c r="V1191" s="1">
        <v>19</v>
      </c>
    </row>
    <row r="1192" spans="1:22" x14ac:dyDescent="0.2">
      <c r="A1192" s="1" t="s">
        <v>1146</v>
      </c>
      <c r="B1192" s="1" t="s">
        <v>1198</v>
      </c>
      <c r="C1192" s="1">
        <v>0</v>
      </c>
      <c r="D1192" s="1">
        <v>0</v>
      </c>
      <c r="E1192" s="1">
        <v>0</v>
      </c>
      <c r="F1192" s="1">
        <v>0</v>
      </c>
      <c r="G1192" s="1">
        <v>0</v>
      </c>
      <c r="H1192" s="1">
        <v>0</v>
      </c>
      <c r="I1192" s="1">
        <v>0</v>
      </c>
      <c r="J1192" s="1">
        <v>0</v>
      </c>
      <c r="K1192" s="1">
        <v>0</v>
      </c>
      <c r="L1192" s="1">
        <v>0</v>
      </c>
      <c r="M1192" s="1">
        <v>0</v>
      </c>
      <c r="N1192" s="1">
        <v>0</v>
      </c>
      <c r="O1192" s="1">
        <v>0</v>
      </c>
      <c r="P1192" s="1">
        <v>0</v>
      </c>
      <c r="Q1192" s="1">
        <v>0</v>
      </c>
      <c r="R1192" s="1">
        <v>1</v>
      </c>
      <c r="S1192" s="1">
        <v>0</v>
      </c>
      <c r="T1192" s="1">
        <v>0</v>
      </c>
      <c r="U1192" s="1">
        <v>0</v>
      </c>
      <c r="V1192" s="1">
        <v>0</v>
      </c>
    </row>
    <row r="1193" spans="1:22" x14ac:dyDescent="0.2">
      <c r="A1193" s="1" t="s">
        <v>1146</v>
      </c>
      <c r="B1193" s="1" t="s">
        <v>1199</v>
      </c>
      <c r="C1193" s="1">
        <v>97</v>
      </c>
      <c r="D1193" s="1">
        <v>246</v>
      </c>
      <c r="E1193" s="1">
        <v>163</v>
      </c>
      <c r="F1193" s="1">
        <v>231</v>
      </c>
      <c r="G1193" s="1">
        <v>175</v>
      </c>
      <c r="H1193" s="1">
        <v>129</v>
      </c>
      <c r="I1193" s="1">
        <v>78</v>
      </c>
      <c r="J1193" s="1">
        <v>116</v>
      </c>
      <c r="K1193" s="1">
        <v>73</v>
      </c>
      <c r="L1193" s="1">
        <v>44</v>
      </c>
      <c r="M1193" s="1">
        <v>34</v>
      </c>
      <c r="N1193" s="1">
        <v>37</v>
      </c>
      <c r="O1193" s="1">
        <v>29</v>
      </c>
      <c r="P1193" s="1">
        <v>29</v>
      </c>
      <c r="Q1193" s="1">
        <v>46</v>
      </c>
      <c r="R1193" s="1">
        <v>57</v>
      </c>
      <c r="S1193" s="1">
        <v>39</v>
      </c>
      <c r="T1193" s="1">
        <v>53</v>
      </c>
      <c r="U1193" s="1">
        <v>41</v>
      </c>
      <c r="V1193" s="1">
        <v>47</v>
      </c>
    </row>
    <row r="1194" spans="1:22" x14ac:dyDescent="0.2">
      <c r="A1194" s="1" t="s">
        <v>1146</v>
      </c>
      <c r="B1194" s="1" t="s">
        <v>1200</v>
      </c>
      <c r="C1194" s="1">
        <v>0</v>
      </c>
      <c r="D1194" s="1">
        <v>0</v>
      </c>
      <c r="E1194" s="1">
        <v>0</v>
      </c>
      <c r="F1194" s="1">
        <v>0</v>
      </c>
      <c r="G1194" s="1">
        <v>0</v>
      </c>
      <c r="H1194" s="1">
        <v>0</v>
      </c>
      <c r="I1194" s="1">
        <v>0</v>
      </c>
      <c r="J1194" s="1">
        <v>0</v>
      </c>
      <c r="K1194" s="1">
        <v>0</v>
      </c>
      <c r="L1194" s="1">
        <v>40</v>
      </c>
      <c r="M1194" s="1">
        <v>32</v>
      </c>
      <c r="N1194" s="1">
        <v>29</v>
      </c>
      <c r="O1194" s="1">
        <v>25</v>
      </c>
      <c r="P1194" s="1">
        <v>20</v>
      </c>
      <c r="Q1194" s="1">
        <v>17</v>
      </c>
      <c r="R1194" s="1">
        <v>24</v>
      </c>
      <c r="S1194" s="1">
        <v>33</v>
      </c>
      <c r="T1194" s="1">
        <v>16</v>
      </c>
      <c r="U1194" s="1">
        <v>8</v>
      </c>
      <c r="V1194" s="1">
        <v>11</v>
      </c>
    </row>
    <row r="1195" spans="1:22" x14ac:dyDescent="0.2">
      <c r="A1195" s="1" t="s">
        <v>1146</v>
      </c>
      <c r="B1195" s="1" t="s">
        <v>1201</v>
      </c>
      <c r="C1195" s="1">
        <v>0</v>
      </c>
      <c r="D1195" s="1">
        <v>0</v>
      </c>
      <c r="E1195" s="1">
        <v>0</v>
      </c>
      <c r="F1195" s="1">
        <v>0</v>
      </c>
      <c r="G1195" s="1">
        <v>0</v>
      </c>
      <c r="H1195" s="1">
        <v>0</v>
      </c>
      <c r="I1195" s="1">
        <v>0</v>
      </c>
      <c r="J1195" s="1">
        <v>0</v>
      </c>
      <c r="K1195" s="1">
        <v>0</v>
      </c>
      <c r="L1195" s="1">
        <v>0</v>
      </c>
      <c r="M1195" s="1">
        <v>0</v>
      </c>
      <c r="N1195" s="1">
        <v>0</v>
      </c>
      <c r="O1195" s="1">
        <v>0</v>
      </c>
      <c r="P1195" s="1">
        <v>0</v>
      </c>
      <c r="Q1195" s="1">
        <v>0</v>
      </c>
      <c r="R1195" s="1">
        <v>0</v>
      </c>
      <c r="S1195" s="1">
        <v>0</v>
      </c>
      <c r="T1195" s="1">
        <v>0</v>
      </c>
      <c r="U1195" s="1">
        <v>0</v>
      </c>
      <c r="V1195" s="1">
        <v>0</v>
      </c>
    </row>
    <row r="1196" spans="1:22" x14ac:dyDescent="0.2">
      <c r="A1196" s="1" t="s">
        <v>1146</v>
      </c>
      <c r="B1196" s="1" t="s">
        <v>1202</v>
      </c>
      <c r="C1196" s="1">
        <v>129</v>
      </c>
      <c r="D1196" s="1">
        <v>107</v>
      </c>
      <c r="E1196" s="1">
        <v>74</v>
      </c>
      <c r="F1196" s="1">
        <v>49</v>
      </c>
      <c r="G1196" s="1">
        <v>66</v>
      </c>
      <c r="H1196" s="1">
        <v>56</v>
      </c>
      <c r="I1196" s="1">
        <v>23</v>
      </c>
      <c r="J1196" s="1">
        <v>15</v>
      </c>
      <c r="K1196" s="1">
        <v>16</v>
      </c>
      <c r="L1196" s="1">
        <v>29</v>
      </c>
      <c r="M1196" s="1">
        <v>8</v>
      </c>
      <c r="N1196" s="1">
        <v>6</v>
      </c>
      <c r="O1196" s="1">
        <v>6</v>
      </c>
      <c r="P1196" s="1">
        <v>0</v>
      </c>
      <c r="Q1196" s="1">
        <v>0</v>
      </c>
      <c r="R1196" s="1">
        <v>0</v>
      </c>
      <c r="S1196" s="1">
        <v>0</v>
      </c>
      <c r="T1196" s="1">
        <v>0</v>
      </c>
      <c r="U1196" s="1">
        <v>0</v>
      </c>
      <c r="V1196" s="1">
        <v>0</v>
      </c>
    </row>
    <row r="1197" spans="1:22" x14ac:dyDescent="0.2">
      <c r="A1197" s="1" t="s">
        <v>1146</v>
      </c>
      <c r="B1197" s="1" t="s">
        <v>1203</v>
      </c>
      <c r="C1197" s="1">
        <v>0</v>
      </c>
      <c r="D1197" s="1">
        <v>0</v>
      </c>
      <c r="E1197" s="1">
        <v>0</v>
      </c>
      <c r="F1197" s="1">
        <v>0</v>
      </c>
      <c r="G1197" s="1">
        <v>0</v>
      </c>
      <c r="H1197" s="1">
        <v>0</v>
      </c>
      <c r="I1197" s="1">
        <v>0</v>
      </c>
      <c r="J1197" s="1">
        <v>0</v>
      </c>
      <c r="K1197" s="1">
        <v>0</v>
      </c>
      <c r="L1197" s="1">
        <v>0</v>
      </c>
      <c r="M1197" s="1">
        <v>0</v>
      </c>
      <c r="N1197" s="1">
        <v>0</v>
      </c>
      <c r="O1197" s="1">
        <v>0</v>
      </c>
      <c r="P1197" s="1">
        <v>0</v>
      </c>
      <c r="Q1197" s="1">
        <v>0</v>
      </c>
      <c r="R1197" s="1">
        <v>1</v>
      </c>
      <c r="S1197" s="1">
        <v>4</v>
      </c>
      <c r="T1197" s="1">
        <v>0</v>
      </c>
      <c r="U1197" s="1">
        <v>0</v>
      </c>
      <c r="V1197" s="1">
        <v>0</v>
      </c>
    </row>
    <row r="1198" spans="1:22" x14ac:dyDescent="0.2">
      <c r="A1198" s="1" t="s">
        <v>1146</v>
      </c>
      <c r="B1198" s="1" t="s">
        <v>1204</v>
      </c>
      <c r="C1198" s="1">
        <v>0</v>
      </c>
      <c r="D1198" s="1">
        <v>0</v>
      </c>
      <c r="E1198" s="1">
        <v>0</v>
      </c>
      <c r="F1198" s="1">
        <v>0</v>
      </c>
      <c r="G1198" s="1">
        <v>0</v>
      </c>
      <c r="H1198" s="1">
        <v>0</v>
      </c>
      <c r="I1198" s="1">
        <v>0</v>
      </c>
      <c r="J1198" s="1">
        <v>0</v>
      </c>
      <c r="K1198" s="1">
        <v>0</v>
      </c>
      <c r="L1198" s="1">
        <v>0</v>
      </c>
      <c r="M1198" s="1">
        <v>10</v>
      </c>
      <c r="N1198" s="1">
        <v>5</v>
      </c>
      <c r="O1198" s="1">
        <v>6</v>
      </c>
      <c r="P1198" s="1">
        <v>8</v>
      </c>
      <c r="Q1198" s="1">
        <v>8</v>
      </c>
      <c r="R1198" s="1">
        <v>5</v>
      </c>
      <c r="S1198" s="1">
        <v>1</v>
      </c>
      <c r="T1198" s="1">
        <v>7</v>
      </c>
      <c r="U1198" s="1">
        <v>6</v>
      </c>
      <c r="V1198" s="1">
        <v>4</v>
      </c>
    </row>
    <row r="1199" spans="1:22" x14ac:dyDescent="0.2">
      <c r="A1199" s="1" t="s">
        <v>1146</v>
      </c>
      <c r="B1199" s="1" t="s">
        <v>1205</v>
      </c>
      <c r="C1199" s="1">
        <v>0</v>
      </c>
      <c r="D1199" s="1">
        <v>0</v>
      </c>
      <c r="E1199" s="1">
        <v>0</v>
      </c>
      <c r="F1199" s="1">
        <v>0</v>
      </c>
      <c r="G1199" s="1">
        <v>0</v>
      </c>
      <c r="H1199" s="1">
        <v>0</v>
      </c>
      <c r="I1199" s="1">
        <v>0</v>
      </c>
      <c r="J1199" s="1">
        <v>0</v>
      </c>
      <c r="K1199" s="1">
        <v>0</v>
      </c>
      <c r="L1199" s="1">
        <v>0</v>
      </c>
      <c r="M1199" s="1">
        <v>5</v>
      </c>
      <c r="N1199" s="1">
        <v>3</v>
      </c>
      <c r="O1199" s="1">
        <v>1</v>
      </c>
      <c r="P1199" s="1">
        <v>0</v>
      </c>
      <c r="Q1199" s="1">
        <v>4</v>
      </c>
      <c r="R1199" s="1">
        <v>2</v>
      </c>
      <c r="S1199" s="1">
        <v>4</v>
      </c>
      <c r="T1199" s="1">
        <v>6</v>
      </c>
      <c r="U1199" s="1">
        <v>2</v>
      </c>
      <c r="V1199" s="1">
        <v>5</v>
      </c>
    </row>
    <row r="1200" spans="1:22" x14ac:dyDescent="0.2">
      <c r="A1200" s="1" t="s">
        <v>1146</v>
      </c>
      <c r="B1200" s="1" t="s">
        <v>1206</v>
      </c>
      <c r="C1200" s="1">
        <v>34</v>
      </c>
      <c r="D1200" s="1">
        <v>129</v>
      </c>
      <c r="E1200" s="1">
        <v>169</v>
      </c>
      <c r="F1200" s="1">
        <v>132</v>
      </c>
      <c r="G1200" s="1">
        <v>121</v>
      </c>
      <c r="H1200" s="1">
        <v>135</v>
      </c>
      <c r="I1200" s="1">
        <v>186</v>
      </c>
      <c r="J1200" s="1">
        <v>247</v>
      </c>
      <c r="K1200" s="1">
        <v>257</v>
      </c>
      <c r="L1200" s="1">
        <v>311</v>
      </c>
      <c r="M1200" s="1">
        <v>191</v>
      </c>
      <c r="N1200" s="1">
        <v>212</v>
      </c>
      <c r="O1200" s="1">
        <v>183</v>
      </c>
      <c r="P1200" s="1">
        <v>283</v>
      </c>
      <c r="Q1200" s="1">
        <v>309</v>
      </c>
      <c r="R1200" s="1">
        <v>294</v>
      </c>
      <c r="S1200" s="1">
        <v>254</v>
      </c>
      <c r="T1200" s="1">
        <v>59</v>
      </c>
      <c r="U1200" s="1">
        <v>2</v>
      </c>
      <c r="V1200" s="1">
        <v>5</v>
      </c>
    </row>
    <row r="1201" spans="1:22" x14ac:dyDescent="0.2">
      <c r="A1201" s="1" t="s">
        <v>1146</v>
      </c>
      <c r="B1201" s="1" t="s">
        <v>1207</v>
      </c>
      <c r="C1201" s="1">
        <v>170</v>
      </c>
      <c r="D1201" s="1">
        <v>160</v>
      </c>
      <c r="E1201" s="1">
        <v>205</v>
      </c>
      <c r="F1201" s="1">
        <v>172</v>
      </c>
      <c r="G1201" s="1">
        <v>317</v>
      </c>
      <c r="H1201" s="1">
        <v>317</v>
      </c>
      <c r="I1201" s="1">
        <v>295</v>
      </c>
      <c r="J1201" s="1">
        <v>441</v>
      </c>
      <c r="K1201" s="1">
        <v>589</v>
      </c>
      <c r="L1201" s="1">
        <v>720</v>
      </c>
      <c r="M1201" s="1">
        <v>568</v>
      </c>
      <c r="N1201" s="1">
        <v>702</v>
      </c>
      <c r="O1201" s="1">
        <v>798</v>
      </c>
      <c r="P1201" s="1">
        <v>977</v>
      </c>
      <c r="Q1201" s="1">
        <v>914</v>
      </c>
      <c r="R1201" s="1">
        <v>938</v>
      </c>
      <c r="S1201" s="1">
        <v>1067</v>
      </c>
      <c r="T1201" s="1">
        <v>2089</v>
      </c>
      <c r="U1201" s="1">
        <v>4003</v>
      </c>
      <c r="V1201" s="1">
        <v>4062</v>
      </c>
    </row>
    <row r="1202" spans="1:22" x14ac:dyDescent="0.2">
      <c r="A1202" s="1" t="s">
        <v>1146</v>
      </c>
      <c r="B1202" s="1" t="s">
        <v>1208</v>
      </c>
      <c r="C1202" s="1">
        <v>0</v>
      </c>
      <c r="D1202" s="1">
        <v>0</v>
      </c>
      <c r="E1202" s="1">
        <v>0</v>
      </c>
      <c r="F1202" s="1">
        <v>0</v>
      </c>
      <c r="G1202" s="1">
        <v>66</v>
      </c>
      <c r="H1202" s="1">
        <v>45</v>
      </c>
      <c r="I1202" s="1">
        <v>49</v>
      </c>
      <c r="J1202" s="1">
        <v>99</v>
      </c>
      <c r="K1202" s="1">
        <v>58</v>
      </c>
      <c r="L1202" s="1">
        <v>75</v>
      </c>
      <c r="M1202" s="1">
        <v>104</v>
      </c>
      <c r="N1202" s="1">
        <v>93</v>
      </c>
      <c r="O1202" s="1">
        <v>95</v>
      </c>
      <c r="P1202" s="1">
        <v>55</v>
      </c>
      <c r="Q1202" s="1">
        <v>0</v>
      </c>
      <c r="R1202" s="1">
        <v>0</v>
      </c>
      <c r="S1202" s="1">
        <v>0</v>
      </c>
      <c r="T1202" s="1">
        <v>0</v>
      </c>
      <c r="U1202" s="1">
        <v>0</v>
      </c>
      <c r="V1202" s="1">
        <v>0</v>
      </c>
    </row>
    <row r="1203" spans="1:22" x14ac:dyDescent="0.2">
      <c r="A1203" s="1" t="s">
        <v>1146</v>
      </c>
      <c r="B1203" s="1" t="s">
        <v>1209</v>
      </c>
      <c r="C1203" s="1">
        <v>0</v>
      </c>
      <c r="D1203" s="1">
        <v>0</v>
      </c>
      <c r="E1203" s="1">
        <v>0</v>
      </c>
      <c r="F1203" s="1">
        <v>0</v>
      </c>
      <c r="G1203" s="1">
        <v>9</v>
      </c>
      <c r="H1203" s="1">
        <v>11</v>
      </c>
      <c r="I1203" s="1">
        <v>19</v>
      </c>
      <c r="J1203" s="1">
        <v>20</v>
      </c>
      <c r="K1203" s="1">
        <v>30</v>
      </c>
      <c r="L1203" s="1">
        <v>10</v>
      </c>
      <c r="M1203" s="1">
        <v>21</v>
      </c>
      <c r="N1203" s="1">
        <v>12</v>
      </c>
      <c r="O1203" s="1">
        <v>4</v>
      </c>
      <c r="P1203" s="1">
        <v>5</v>
      </c>
      <c r="Q1203" s="1">
        <v>0</v>
      </c>
      <c r="R1203" s="1">
        <v>0</v>
      </c>
      <c r="S1203" s="1">
        <v>0</v>
      </c>
      <c r="T1203" s="1">
        <v>2</v>
      </c>
      <c r="U1203" s="1">
        <v>1</v>
      </c>
      <c r="V1203" s="1">
        <v>2</v>
      </c>
    </row>
    <row r="1204" spans="1:22" x14ac:dyDescent="0.2">
      <c r="A1204" s="1" t="s">
        <v>1146</v>
      </c>
      <c r="B1204" s="1" t="s">
        <v>1210</v>
      </c>
      <c r="C1204" s="1">
        <v>0</v>
      </c>
      <c r="D1204" s="1">
        <v>0</v>
      </c>
      <c r="E1204" s="1">
        <v>0</v>
      </c>
      <c r="F1204" s="1">
        <v>0</v>
      </c>
      <c r="G1204" s="1">
        <v>0</v>
      </c>
      <c r="H1204" s="1">
        <v>0</v>
      </c>
      <c r="I1204" s="1">
        <v>2</v>
      </c>
      <c r="J1204" s="1">
        <v>0</v>
      </c>
      <c r="K1204" s="1">
        <v>3</v>
      </c>
      <c r="L1204" s="1">
        <v>0</v>
      </c>
      <c r="M1204" s="1">
        <v>2</v>
      </c>
      <c r="N1204" s="1">
        <v>0</v>
      </c>
      <c r="O1204" s="1">
        <v>1</v>
      </c>
      <c r="P1204" s="1">
        <v>1</v>
      </c>
      <c r="Q1204" s="1">
        <v>1</v>
      </c>
      <c r="R1204" s="1">
        <v>2</v>
      </c>
      <c r="S1204" s="1">
        <v>2</v>
      </c>
      <c r="T1204" s="1">
        <v>4</v>
      </c>
      <c r="U1204" s="1">
        <v>4</v>
      </c>
      <c r="V1204" s="1">
        <v>1</v>
      </c>
    </row>
    <row r="1205" spans="1:22" x14ac:dyDescent="0.2">
      <c r="A1205" s="1" t="s">
        <v>1146</v>
      </c>
      <c r="B1205" s="1" t="s">
        <v>1211</v>
      </c>
      <c r="C1205" s="1">
        <v>0</v>
      </c>
      <c r="D1205" s="1">
        <v>0</v>
      </c>
      <c r="E1205" s="1">
        <v>0</v>
      </c>
      <c r="F1205" s="1">
        <v>0</v>
      </c>
      <c r="G1205" s="1">
        <v>0</v>
      </c>
      <c r="H1205" s="1">
        <v>0</v>
      </c>
      <c r="I1205" s="1">
        <v>0</v>
      </c>
      <c r="J1205" s="1">
        <v>0</v>
      </c>
      <c r="K1205" s="1">
        <v>0</v>
      </c>
      <c r="L1205" s="1">
        <v>0</v>
      </c>
      <c r="M1205" s="1">
        <v>0</v>
      </c>
      <c r="N1205" s="1">
        <v>0</v>
      </c>
      <c r="O1205" s="1">
        <v>0</v>
      </c>
      <c r="P1205" s="1">
        <v>1</v>
      </c>
      <c r="Q1205" s="1">
        <v>57</v>
      </c>
      <c r="R1205" s="1">
        <v>67</v>
      </c>
      <c r="S1205" s="1">
        <v>96</v>
      </c>
      <c r="T1205" s="1">
        <v>141</v>
      </c>
      <c r="U1205" s="1">
        <v>227</v>
      </c>
      <c r="V1205" s="1">
        <v>188</v>
      </c>
    </row>
    <row r="1206" spans="1:22" x14ac:dyDescent="0.2">
      <c r="A1206" s="1" t="s">
        <v>1146</v>
      </c>
      <c r="B1206" s="1" t="s">
        <v>1212</v>
      </c>
      <c r="C1206" s="1">
        <v>0</v>
      </c>
      <c r="D1206" s="1">
        <v>0</v>
      </c>
      <c r="E1206" s="1">
        <v>0</v>
      </c>
      <c r="F1206" s="1">
        <v>0</v>
      </c>
      <c r="G1206" s="1">
        <v>0</v>
      </c>
      <c r="H1206" s="1">
        <v>0</v>
      </c>
      <c r="I1206" s="1">
        <v>0</v>
      </c>
      <c r="J1206" s="1">
        <v>0</v>
      </c>
      <c r="K1206" s="1">
        <v>2</v>
      </c>
      <c r="L1206" s="1">
        <v>7</v>
      </c>
      <c r="M1206" s="1">
        <v>9</v>
      </c>
      <c r="N1206" s="1">
        <v>9</v>
      </c>
      <c r="O1206" s="1">
        <v>1</v>
      </c>
      <c r="P1206" s="1">
        <v>8</v>
      </c>
      <c r="Q1206" s="1">
        <v>10</v>
      </c>
      <c r="R1206" s="1">
        <v>19</v>
      </c>
      <c r="S1206" s="1">
        <v>18</v>
      </c>
      <c r="T1206" s="1">
        <v>11</v>
      </c>
      <c r="U1206" s="1">
        <v>12</v>
      </c>
      <c r="V1206" s="1">
        <v>14</v>
      </c>
    </row>
    <row r="1207" spans="1:22" x14ac:dyDescent="0.2">
      <c r="A1207" s="1" t="s">
        <v>1146</v>
      </c>
      <c r="B1207" s="1" t="s">
        <v>1213</v>
      </c>
      <c r="C1207" s="1">
        <v>12</v>
      </c>
      <c r="D1207" s="1">
        <v>4</v>
      </c>
      <c r="E1207" s="1">
        <v>8</v>
      </c>
      <c r="F1207" s="1">
        <v>7</v>
      </c>
      <c r="G1207" s="1">
        <v>18</v>
      </c>
      <c r="H1207" s="1">
        <v>10</v>
      </c>
      <c r="I1207" s="1">
        <v>11</v>
      </c>
      <c r="J1207" s="1">
        <v>9</v>
      </c>
      <c r="K1207" s="1">
        <v>18</v>
      </c>
      <c r="L1207" s="1">
        <v>41</v>
      </c>
      <c r="M1207" s="1">
        <v>43</v>
      </c>
      <c r="N1207" s="1">
        <v>32</v>
      </c>
      <c r="O1207" s="1">
        <v>34</v>
      </c>
      <c r="P1207" s="1">
        <v>44</v>
      </c>
      <c r="Q1207" s="1">
        <v>43</v>
      </c>
      <c r="R1207" s="1">
        <v>48</v>
      </c>
      <c r="S1207" s="1">
        <v>85</v>
      </c>
      <c r="T1207" s="1">
        <v>137</v>
      </c>
      <c r="U1207" s="1">
        <v>132</v>
      </c>
      <c r="V1207" s="1">
        <v>229</v>
      </c>
    </row>
    <row r="1208" spans="1:22" x14ac:dyDescent="0.2">
      <c r="A1208" s="1" t="s">
        <v>1146</v>
      </c>
      <c r="B1208" s="1" t="s">
        <v>1214</v>
      </c>
      <c r="C1208" s="1">
        <v>1209</v>
      </c>
      <c r="D1208" s="1">
        <v>1309</v>
      </c>
      <c r="E1208" s="1">
        <v>1343</v>
      </c>
      <c r="F1208" s="1">
        <v>1565</v>
      </c>
      <c r="G1208" s="1">
        <v>1670</v>
      </c>
      <c r="H1208" s="1">
        <v>1523</v>
      </c>
      <c r="I1208" s="1">
        <v>1311</v>
      </c>
      <c r="J1208" s="1">
        <v>1337</v>
      </c>
      <c r="K1208" s="1">
        <v>1357</v>
      </c>
      <c r="L1208" s="1">
        <v>1602</v>
      </c>
      <c r="M1208" s="1">
        <v>1613</v>
      </c>
      <c r="N1208" s="1">
        <v>1641</v>
      </c>
      <c r="O1208" s="1">
        <v>1430</v>
      </c>
      <c r="P1208" s="1">
        <v>1478</v>
      </c>
      <c r="Q1208" s="1">
        <v>1530</v>
      </c>
      <c r="R1208" s="1">
        <v>1432</v>
      </c>
      <c r="S1208" s="1">
        <v>1470</v>
      </c>
      <c r="T1208" s="1">
        <v>1559</v>
      </c>
      <c r="U1208" s="1">
        <v>1522</v>
      </c>
      <c r="V1208" s="1">
        <v>1890</v>
      </c>
    </row>
    <row r="1209" spans="1:22" x14ac:dyDescent="0.2">
      <c r="A1209" s="1" t="s">
        <v>1146</v>
      </c>
      <c r="B1209" s="1" t="s">
        <v>1215</v>
      </c>
      <c r="C1209" s="1">
        <v>6</v>
      </c>
      <c r="D1209" s="1">
        <v>1</v>
      </c>
      <c r="E1209" s="1">
        <v>5</v>
      </c>
      <c r="F1209" s="1">
        <v>0</v>
      </c>
      <c r="G1209" s="1">
        <v>0</v>
      </c>
      <c r="H1209" s="1">
        <v>0</v>
      </c>
      <c r="I1209" s="1">
        <v>1</v>
      </c>
      <c r="J1209" s="1">
        <v>0</v>
      </c>
      <c r="K1209" s="1">
        <v>1</v>
      </c>
      <c r="L1209" s="1">
        <v>17</v>
      </c>
      <c r="M1209" s="1">
        <v>1</v>
      </c>
      <c r="N1209" s="1">
        <v>0</v>
      </c>
      <c r="O1209" s="1">
        <v>0</v>
      </c>
      <c r="P1209" s="1">
        <v>0</v>
      </c>
      <c r="Q1209" s="1">
        <v>1</v>
      </c>
      <c r="R1209" s="1">
        <v>1</v>
      </c>
      <c r="S1209" s="1">
        <v>0</v>
      </c>
      <c r="T1209" s="1">
        <v>0</v>
      </c>
      <c r="U1209" s="1">
        <v>0</v>
      </c>
      <c r="V1209" s="1">
        <v>0</v>
      </c>
    </row>
    <row r="1210" spans="1:22" x14ac:dyDescent="0.2">
      <c r="A1210" s="1" t="s">
        <v>1146</v>
      </c>
      <c r="B1210" s="1" t="s">
        <v>1216</v>
      </c>
      <c r="C1210" s="1">
        <v>132</v>
      </c>
      <c r="D1210" s="1">
        <v>146</v>
      </c>
      <c r="E1210" s="1">
        <v>143</v>
      </c>
      <c r="F1210" s="1">
        <v>132</v>
      </c>
      <c r="G1210" s="1">
        <v>113</v>
      </c>
      <c r="H1210" s="1">
        <v>103</v>
      </c>
      <c r="I1210" s="1">
        <v>88</v>
      </c>
      <c r="J1210" s="1">
        <v>97</v>
      </c>
      <c r="K1210" s="1">
        <v>66</v>
      </c>
      <c r="L1210" s="1">
        <v>83</v>
      </c>
      <c r="M1210" s="1">
        <v>65</v>
      </c>
      <c r="N1210" s="1">
        <v>49</v>
      </c>
      <c r="O1210" s="1">
        <v>38</v>
      </c>
      <c r="P1210" s="1">
        <v>40</v>
      </c>
      <c r="Q1210" s="1">
        <v>25</v>
      </c>
      <c r="R1210" s="1">
        <v>32</v>
      </c>
      <c r="S1210" s="1">
        <v>7</v>
      </c>
      <c r="T1210" s="1">
        <v>0</v>
      </c>
      <c r="U1210" s="1">
        <v>0</v>
      </c>
      <c r="V1210" s="1">
        <v>0</v>
      </c>
    </row>
    <row r="1211" spans="1:22" x14ac:dyDescent="0.2">
      <c r="A1211" s="1" t="s">
        <v>1146</v>
      </c>
      <c r="B1211" s="1" t="s">
        <v>1217</v>
      </c>
      <c r="C1211" s="1">
        <v>0</v>
      </c>
      <c r="D1211" s="1">
        <v>0</v>
      </c>
      <c r="E1211" s="1">
        <v>0</v>
      </c>
      <c r="F1211" s="1">
        <v>0</v>
      </c>
      <c r="G1211" s="1">
        <v>0</v>
      </c>
      <c r="H1211" s="1">
        <v>0</v>
      </c>
      <c r="I1211" s="1">
        <v>0</v>
      </c>
      <c r="J1211" s="1">
        <v>0</v>
      </c>
      <c r="K1211" s="1">
        <v>0</v>
      </c>
      <c r="L1211" s="1">
        <v>66</v>
      </c>
      <c r="M1211" s="1">
        <v>65</v>
      </c>
      <c r="N1211" s="1">
        <v>65</v>
      </c>
      <c r="O1211" s="1">
        <v>88</v>
      </c>
      <c r="P1211" s="1">
        <v>104</v>
      </c>
      <c r="Q1211" s="1">
        <v>78</v>
      </c>
      <c r="R1211" s="1">
        <v>53</v>
      </c>
      <c r="S1211" s="1">
        <v>33</v>
      </c>
      <c r="T1211" s="1">
        <v>12</v>
      </c>
      <c r="U1211" s="1">
        <v>1</v>
      </c>
      <c r="V1211" s="1">
        <v>1</v>
      </c>
    </row>
    <row r="1212" spans="1:22" x14ac:dyDescent="0.2">
      <c r="A1212" s="1" t="s">
        <v>1146</v>
      </c>
      <c r="B1212" s="1" t="s">
        <v>1218</v>
      </c>
      <c r="C1212" s="1">
        <f>SUM(C1213:C1231)</f>
        <v>122</v>
      </c>
      <c r="D1212" s="1">
        <f>SUM(D1213:D1231)</f>
        <v>138</v>
      </c>
      <c r="E1212" s="1">
        <f>SUM(E1213:E1231)</f>
        <v>182</v>
      </c>
      <c r="F1212" s="1">
        <f>SUM(F1213:F1231)</f>
        <v>154</v>
      </c>
      <c r="G1212" s="1">
        <f t="shared" ref="G1212:R1212" si="239">SUM(G1213:G1231)</f>
        <v>223</v>
      </c>
      <c r="H1212" s="1">
        <f t="shared" si="239"/>
        <v>203</v>
      </c>
      <c r="I1212" s="1">
        <f t="shared" si="239"/>
        <v>189</v>
      </c>
      <c r="J1212" s="1">
        <f t="shared" si="239"/>
        <v>232</v>
      </c>
      <c r="K1212" s="1">
        <f t="shared" si="239"/>
        <v>279</v>
      </c>
      <c r="L1212" s="1">
        <f t="shared" si="239"/>
        <v>435</v>
      </c>
      <c r="M1212" s="1">
        <f t="shared" si="239"/>
        <v>582</v>
      </c>
      <c r="N1212" s="1">
        <f t="shared" si="239"/>
        <v>731</v>
      </c>
      <c r="O1212" s="1">
        <f t="shared" si="239"/>
        <v>759</v>
      </c>
      <c r="P1212" s="1">
        <f t="shared" si="239"/>
        <v>930</v>
      </c>
      <c r="Q1212" s="1">
        <f t="shared" si="239"/>
        <v>1009</v>
      </c>
      <c r="R1212" s="1">
        <f t="shared" si="239"/>
        <v>1236</v>
      </c>
      <c r="S1212" s="1">
        <f>SUM(S1213:S1231)</f>
        <v>1407</v>
      </c>
      <c r="T1212" s="1">
        <f>SUM(T1213:T1231)</f>
        <v>1413</v>
      </c>
      <c r="U1212" s="1">
        <f>SUM(U1213:U1231)</f>
        <v>1511</v>
      </c>
      <c r="V1212" s="1">
        <f>SUM(V1213:V1231)</f>
        <v>1914</v>
      </c>
    </row>
    <row r="1213" spans="1:22" x14ac:dyDescent="0.2">
      <c r="A1213" s="1" t="s">
        <v>1146</v>
      </c>
      <c r="B1213" s="1" t="s">
        <v>1219</v>
      </c>
      <c r="C1213" s="1">
        <v>3</v>
      </c>
      <c r="D1213" s="1">
        <v>0</v>
      </c>
      <c r="E1213" s="1">
        <v>0</v>
      </c>
      <c r="F1213" s="1">
        <v>0</v>
      </c>
      <c r="G1213" s="1">
        <v>4</v>
      </c>
      <c r="H1213" s="1">
        <v>0</v>
      </c>
      <c r="I1213" s="1">
        <v>0</v>
      </c>
      <c r="J1213" s="1">
        <v>0</v>
      </c>
      <c r="K1213" s="1">
        <v>0</v>
      </c>
      <c r="L1213" s="1">
        <v>0</v>
      </c>
      <c r="M1213" s="1">
        <v>1</v>
      </c>
      <c r="N1213" s="1">
        <v>0</v>
      </c>
      <c r="O1213" s="1">
        <v>0</v>
      </c>
      <c r="P1213" s="1">
        <v>0</v>
      </c>
      <c r="Q1213" s="1">
        <v>0</v>
      </c>
      <c r="R1213" s="1">
        <v>0</v>
      </c>
      <c r="S1213" s="1">
        <v>0</v>
      </c>
      <c r="T1213" s="1">
        <v>0</v>
      </c>
      <c r="U1213" s="1">
        <v>0</v>
      </c>
      <c r="V1213" s="1">
        <v>0</v>
      </c>
    </row>
    <row r="1214" spans="1:22" x14ac:dyDescent="0.2">
      <c r="A1214" s="1" t="s">
        <v>1146</v>
      </c>
      <c r="B1214" s="1" t="s">
        <v>1220</v>
      </c>
      <c r="C1214" s="1">
        <v>0</v>
      </c>
      <c r="D1214" s="1">
        <v>0</v>
      </c>
      <c r="E1214" s="1">
        <v>0</v>
      </c>
      <c r="F1214" s="1">
        <v>0</v>
      </c>
      <c r="G1214" s="1">
        <v>0</v>
      </c>
      <c r="H1214" s="1">
        <v>16</v>
      </c>
      <c r="I1214" s="1">
        <v>3</v>
      </c>
      <c r="J1214" s="1">
        <v>11</v>
      </c>
      <c r="K1214" s="1">
        <v>19</v>
      </c>
      <c r="L1214" s="1">
        <v>26</v>
      </c>
      <c r="M1214" s="1">
        <v>17</v>
      </c>
      <c r="N1214" s="1">
        <v>31</v>
      </c>
      <c r="O1214" s="1">
        <v>12</v>
      </c>
      <c r="P1214" s="1">
        <v>9</v>
      </c>
      <c r="Q1214" s="1">
        <v>6</v>
      </c>
      <c r="R1214" s="1">
        <v>9</v>
      </c>
      <c r="S1214" s="1">
        <v>8</v>
      </c>
      <c r="T1214" s="1">
        <v>11</v>
      </c>
      <c r="U1214" s="1">
        <v>9</v>
      </c>
      <c r="V1214" s="1">
        <v>8</v>
      </c>
    </row>
    <row r="1215" spans="1:22" x14ac:dyDescent="0.2">
      <c r="A1215" s="1" t="s">
        <v>1146</v>
      </c>
      <c r="B1215" s="1" t="s">
        <v>1221</v>
      </c>
      <c r="C1215" s="1">
        <v>91</v>
      </c>
      <c r="D1215" s="1">
        <v>32</v>
      </c>
      <c r="E1215" s="1">
        <v>47</v>
      </c>
      <c r="F1215" s="1">
        <v>14</v>
      </c>
      <c r="G1215" s="1">
        <v>43</v>
      </c>
      <c r="H1215" s="1">
        <v>25</v>
      </c>
      <c r="I1215" s="1">
        <v>30</v>
      </c>
      <c r="J1215" s="1">
        <v>25</v>
      </c>
      <c r="K1215" s="1">
        <v>21</v>
      </c>
      <c r="L1215" s="1">
        <v>43</v>
      </c>
      <c r="M1215" s="1">
        <v>32</v>
      </c>
      <c r="N1215" s="1">
        <v>22</v>
      </c>
      <c r="O1215" s="1">
        <v>33</v>
      </c>
      <c r="P1215" s="1">
        <v>30</v>
      </c>
      <c r="Q1215" s="1">
        <v>14</v>
      </c>
      <c r="R1215" s="1">
        <v>14</v>
      </c>
      <c r="S1215" s="1">
        <v>38</v>
      </c>
      <c r="T1215" s="1">
        <v>37</v>
      </c>
      <c r="U1215" s="1">
        <v>30</v>
      </c>
      <c r="V1215" s="1">
        <v>19</v>
      </c>
    </row>
    <row r="1216" spans="1:22" x14ac:dyDescent="0.2">
      <c r="A1216" s="1" t="s">
        <v>1146</v>
      </c>
      <c r="B1216" s="1" t="s">
        <v>1222</v>
      </c>
      <c r="C1216" s="1">
        <v>0</v>
      </c>
      <c r="D1216" s="1">
        <v>62</v>
      </c>
      <c r="E1216" s="1">
        <v>91</v>
      </c>
      <c r="F1216" s="1">
        <v>72</v>
      </c>
      <c r="G1216" s="1">
        <v>119</v>
      </c>
      <c r="H1216" s="1">
        <v>105</v>
      </c>
      <c r="I1216" s="1">
        <v>82</v>
      </c>
      <c r="J1216" s="1">
        <v>81</v>
      </c>
      <c r="K1216" s="1">
        <v>51</v>
      </c>
      <c r="L1216" s="1">
        <v>94</v>
      </c>
      <c r="M1216" s="1">
        <v>97</v>
      </c>
      <c r="N1216" s="1">
        <v>184</v>
      </c>
      <c r="O1216" s="1">
        <v>135</v>
      </c>
      <c r="P1216" s="1">
        <v>259</v>
      </c>
      <c r="Q1216" s="1">
        <v>254</v>
      </c>
      <c r="R1216" s="1">
        <v>268</v>
      </c>
      <c r="S1216" s="1">
        <v>461</v>
      </c>
      <c r="T1216" s="1">
        <v>385</v>
      </c>
      <c r="U1216" s="1">
        <v>367</v>
      </c>
      <c r="V1216" s="1">
        <v>344</v>
      </c>
    </row>
    <row r="1217" spans="1:22" x14ac:dyDescent="0.2">
      <c r="A1217" s="1" t="s">
        <v>1146</v>
      </c>
      <c r="B1217" s="1" t="s">
        <v>1223</v>
      </c>
      <c r="C1217" s="1">
        <v>0</v>
      </c>
      <c r="D1217" s="1">
        <v>0</v>
      </c>
      <c r="E1217" s="1">
        <v>0</v>
      </c>
      <c r="F1217" s="1">
        <v>0</v>
      </c>
      <c r="G1217" s="1">
        <v>0</v>
      </c>
      <c r="H1217" s="1">
        <v>0</v>
      </c>
      <c r="I1217" s="1">
        <v>0</v>
      </c>
      <c r="J1217" s="1">
        <v>0</v>
      </c>
      <c r="K1217" s="1">
        <v>0</v>
      </c>
      <c r="L1217" s="1">
        <v>0</v>
      </c>
      <c r="M1217" s="1">
        <v>1</v>
      </c>
      <c r="N1217" s="1">
        <v>0</v>
      </c>
      <c r="O1217" s="1">
        <v>0</v>
      </c>
      <c r="P1217" s="1">
        <v>0</v>
      </c>
      <c r="Q1217" s="1">
        <v>0</v>
      </c>
      <c r="R1217" s="1">
        <v>0</v>
      </c>
      <c r="S1217" s="1">
        <v>0</v>
      </c>
      <c r="T1217" s="1">
        <v>0</v>
      </c>
      <c r="U1217" s="1">
        <v>0</v>
      </c>
      <c r="V1217" s="1">
        <v>0</v>
      </c>
    </row>
    <row r="1218" spans="1:22" x14ac:dyDescent="0.2">
      <c r="A1218" s="1" t="s">
        <v>1146</v>
      </c>
      <c r="B1218" s="1" t="s">
        <v>1224</v>
      </c>
      <c r="C1218" s="1">
        <v>7</v>
      </c>
      <c r="D1218" s="1">
        <v>11</v>
      </c>
      <c r="E1218" s="1">
        <v>14</v>
      </c>
      <c r="F1218" s="1">
        <v>32</v>
      </c>
      <c r="G1218" s="1">
        <v>27</v>
      </c>
      <c r="H1218" s="1">
        <v>27</v>
      </c>
      <c r="I1218" s="1">
        <v>23</v>
      </c>
      <c r="J1218" s="1">
        <v>54</v>
      </c>
      <c r="K1218" s="1">
        <v>125</v>
      </c>
      <c r="L1218" s="1">
        <v>219</v>
      </c>
      <c r="M1218" s="1">
        <v>379</v>
      </c>
      <c r="N1218" s="1">
        <v>457</v>
      </c>
      <c r="O1218" s="1">
        <v>527</v>
      </c>
      <c r="P1218" s="1">
        <v>593</v>
      </c>
      <c r="Q1218" s="1">
        <v>683</v>
      </c>
      <c r="R1218" s="1">
        <v>906</v>
      </c>
      <c r="S1218" s="1">
        <v>883</v>
      </c>
      <c r="T1218" s="1">
        <v>937</v>
      </c>
      <c r="U1218" s="1">
        <v>1043</v>
      </c>
      <c r="V1218" s="1">
        <v>1391</v>
      </c>
    </row>
    <row r="1219" spans="1:22" x14ac:dyDescent="0.2">
      <c r="A1219" s="1" t="s">
        <v>1146</v>
      </c>
      <c r="B1219" s="1" t="s">
        <v>1225</v>
      </c>
      <c r="C1219" s="1">
        <v>0</v>
      </c>
      <c r="D1219" s="1">
        <v>0</v>
      </c>
      <c r="E1219" s="1">
        <v>0</v>
      </c>
      <c r="F1219" s="1">
        <v>0</v>
      </c>
      <c r="G1219" s="1">
        <v>0</v>
      </c>
      <c r="H1219" s="1">
        <v>0</v>
      </c>
      <c r="I1219" s="1">
        <v>0</v>
      </c>
      <c r="J1219" s="1">
        <v>0</v>
      </c>
      <c r="K1219" s="1">
        <v>0</v>
      </c>
      <c r="L1219" s="1">
        <v>0</v>
      </c>
      <c r="M1219" s="1">
        <v>0</v>
      </c>
      <c r="N1219" s="1">
        <v>0</v>
      </c>
      <c r="O1219" s="1">
        <v>0</v>
      </c>
      <c r="P1219" s="1">
        <v>0</v>
      </c>
      <c r="Q1219" s="1">
        <v>0</v>
      </c>
      <c r="R1219" s="1">
        <v>1</v>
      </c>
      <c r="S1219" s="1">
        <v>0</v>
      </c>
      <c r="T1219" s="1">
        <v>0</v>
      </c>
      <c r="U1219" s="1">
        <v>0</v>
      </c>
      <c r="V1219" s="1">
        <v>0</v>
      </c>
    </row>
    <row r="1220" spans="1:22" x14ac:dyDescent="0.2">
      <c r="A1220" s="1" t="s">
        <v>1146</v>
      </c>
      <c r="B1220" s="1" t="s">
        <v>1226</v>
      </c>
      <c r="C1220" s="1">
        <v>0</v>
      </c>
      <c r="D1220" s="1">
        <v>0</v>
      </c>
      <c r="E1220" s="1">
        <v>0</v>
      </c>
      <c r="F1220" s="1">
        <v>0</v>
      </c>
      <c r="G1220" s="1">
        <v>0</v>
      </c>
      <c r="H1220" s="1">
        <v>0</v>
      </c>
      <c r="I1220" s="1">
        <v>1</v>
      </c>
      <c r="J1220" s="1">
        <v>0</v>
      </c>
      <c r="K1220" s="1">
        <v>4</v>
      </c>
      <c r="L1220" s="1">
        <v>10</v>
      </c>
      <c r="M1220" s="1">
        <v>1</v>
      </c>
      <c r="N1220" s="1">
        <v>2</v>
      </c>
      <c r="O1220" s="1">
        <v>2</v>
      </c>
      <c r="P1220" s="1">
        <v>0</v>
      </c>
      <c r="Q1220" s="1">
        <v>1</v>
      </c>
      <c r="R1220" s="1">
        <v>0</v>
      </c>
      <c r="S1220" s="1">
        <v>0</v>
      </c>
      <c r="T1220" s="1">
        <v>0</v>
      </c>
      <c r="U1220" s="1">
        <v>0</v>
      </c>
      <c r="V1220" s="1">
        <v>4</v>
      </c>
    </row>
    <row r="1221" spans="1:22" x14ac:dyDescent="0.2">
      <c r="A1221" s="1" t="s">
        <v>1146</v>
      </c>
      <c r="B1221" s="1" t="s">
        <v>1227</v>
      </c>
      <c r="C1221" s="1">
        <v>0</v>
      </c>
      <c r="D1221" s="1">
        <v>0</v>
      </c>
      <c r="E1221" s="1">
        <v>0</v>
      </c>
      <c r="F1221" s="1">
        <v>0</v>
      </c>
      <c r="G1221" s="1">
        <v>0</v>
      </c>
      <c r="H1221" s="1">
        <v>0</v>
      </c>
      <c r="I1221" s="1">
        <v>0</v>
      </c>
      <c r="J1221" s="1">
        <v>0</v>
      </c>
      <c r="K1221" s="1">
        <v>0</v>
      </c>
      <c r="L1221" s="1">
        <v>0</v>
      </c>
      <c r="M1221" s="1">
        <v>0</v>
      </c>
      <c r="N1221" s="1">
        <v>1</v>
      </c>
      <c r="O1221" s="1">
        <v>0</v>
      </c>
      <c r="P1221" s="1">
        <v>0</v>
      </c>
      <c r="Q1221" s="1">
        <v>0</v>
      </c>
      <c r="R1221" s="1">
        <v>0</v>
      </c>
      <c r="S1221" s="1">
        <v>1</v>
      </c>
      <c r="T1221" s="1">
        <v>0</v>
      </c>
      <c r="U1221" s="1">
        <v>0</v>
      </c>
      <c r="V1221" s="1">
        <v>0</v>
      </c>
    </row>
    <row r="1222" spans="1:22" x14ac:dyDescent="0.2">
      <c r="A1222" s="1" t="s">
        <v>1146</v>
      </c>
      <c r="B1222" s="1" t="s">
        <v>1228</v>
      </c>
      <c r="C1222" s="1">
        <v>17</v>
      </c>
      <c r="D1222" s="1">
        <v>27</v>
      </c>
      <c r="E1222" s="1">
        <v>21</v>
      </c>
      <c r="F1222" s="1">
        <v>19</v>
      </c>
      <c r="G1222" s="1">
        <v>18</v>
      </c>
      <c r="H1222" s="1">
        <v>12</v>
      </c>
      <c r="I1222" s="1">
        <v>24</v>
      </c>
      <c r="J1222" s="1">
        <v>15</v>
      </c>
      <c r="K1222" s="1">
        <v>18</v>
      </c>
      <c r="L1222" s="1">
        <v>20</v>
      </c>
      <c r="M1222" s="1">
        <v>21</v>
      </c>
      <c r="N1222" s="1">
        <v>13</v>
      </c>
      <c r="O1222" s="1">
        <v>9</v>
      </c>
      <c r="P1222" s="1">
        <v>14</v>
      </c>
      <c r="Q1222" s="1">
        <v>17</v>
      </c>
      <c r="R1222" s="1">
        <v>6</v>
      </c>
      <c r="S1222" s="1">
        <v>4</v>
      </c>
      <c r="T1222" s="1">
        <v>8</v>
      </c>
      <c r="U1222" s="1">
        <v>45</v>
      </c>
      <c r="V1222" s="1">
        <v>36</v>
      </c>
    </row>
    <row r="1223" spans="1:22" x14ac:dyDescent="0.2">
      <c r="A1223" s="1" t="s">
        <v>1146</v>
      </c>
      <c r="B1223" s="1" t="s">
        <v>1229</v>
      </c>
      <c r="C1223" s="1">
        <v>4</v>
      </c>
      <c r="D1223" s="1">
        <v>6</v>
      </c>
      <c r="E1223" s="1">
        <v>9</v>
      </c>
      <c r="F1223" s="1">
        <v>13</v>
      </c>
      <c r="G1223" s="1">
        <v>10</v>
      </c>
      <c r="H1223" s="1">
        <v>6</v>
      </c>
      <c r="I1223" s="1">
        <v>16</v>
      </c>
      <c r="J1223" s="1">
        <v>6</v>
      </c>
      <c r="K1223" s="1">
        <v>5</v>
      </c>
      <c r="L1223" s="1">
        <v>3</v>
      </c>
      <c r="M1223" s="1">
        <v>0</v>
      </c>
      <c r="N1223" s="1">
        <v>3</v>
      </c>
      <c r="O1223" s="1">
        <v>1</v>
      </c>
      <c r="P1223" s="1">
        <v>2</v>
      </c>
      <c r="Q1223" s="1">
        <v>5</v>
      </c>
      <c r="R1223" s="1">
        <v>6</v>
      </c>
      <c r="S1223" s="1">
        <v>6</v>
      </c>
      <c r="T1223" s="1">
        <v>5</v>
      </c>
      <c r="U1223" s="1">
        <v>3</v>
      </c>
      <c r="V1223" s="1">
        <v>5</v>
      </c>
    </row>
    <row r="1224" spans="1:22" x14ac:dyDescent="0.2">
      <c r="A1224" s="1" t="s">
        <v>1146</v>
      </c>
      <c r="B1224" s="1" t="s">
        <v>1230</v>
      </c>
      <c r="C1224" s="1">
        <v>0</v>
      </c>
      <c r="D1224" s="1">
        <v>0</v>
      </c>
      <c r="E1224" s="1">
        <v>0</v>
      </c>
      <c r="F1224" s="1">
        <v>0</v>
      </c>
      <c r="G1224" s="1">
        <v>0</v>
      </c>
      <c r="H1224" s="1">
        <v>9</v>
      </c>
      <c r="I1224" s="1">
        <v>6</v>
      </c>
      <c r="J1224" s="1">
        <v>32</v>
      </c>
      <c r="K1224" s="1">
        <v>23</v>
      </c>
      <c r="L1224" s="1">
        <v>8</v>
      </c>
      <c r="M1224" s="1">
        <v>18</v>
      </c>
      <c r="N1224" s="1">
        <v>9</v>
      </c>
      <c r="O1224" s="1">
        <v>22</v>
      </c>
      <c r="P1224" s="1">
        <v>11</v>
      </c>
      <c r="Q1224" s="1">
        <v>10</v>
      </c>
      <c r="R1224" s="1">
        <v>7</v>
      </c>
      <c r="S1224" s="1">
        <v>5</v>
      </c>
      <c r="T1224" s="1">
        <v>22</v>
      </c>
      <c r="U1224" s="1">
        <v>3</v>
      </c>
      <c r="V1224" s="1">
        <v>4</v>
      </c>
    </row>
    <row r="1225" spans="1:22" x14ac:dyDescent="0.2">
      <c r="A1225" s="1" t="s">
        <v>1146</v>
      </c>
      <c r="B1225" s="1" t="s">
        <v>1231</v>
      </c>
      <c r="C1225" s="1">
        <v>0</v>
      </c>
      <c r="D1225" s="1">
        <v>0</v>
      </c>
      <c r="E1225" s="1">
        <v>0</v>
      </c>
      <c r="F1225" s="1">
        <v>0</v>
      </c>
      <c r="G1225" s="1">
        <v>0</v>
      </c>
      <c r="H1225" s="1">
        <v>0</v>
      </c>
      <c r="I1225" s="1">
        <v>0</v>
      </c>
      <c r="J1225" s="1">
        <v>2</v>
      </c>
      <c r="K1225" s="1">
        <v>4</v>
      </c>
      <c r="L1225" s="1">
        <v>2</v>
      </c>
      <c r="M1225" s="1">
        <v>0</v>
      </c>
      <c r="N1225" s="1">
        <v>0</v>
      </c>
      <c r="O1225" s="1">
        <v>0</v>
      </c>
      <c r="P1225" s="1">
        <v>1</v>
      </c>
      <c r="Q1225" s="1">
        <v>2</v>
      </c>
      <c r="R1225" s="1">
        <v>0</v>
      </c>
      <c r="S1225" s="1">
        <v>0</v>
      </c>
      <c r="T1225" s="1">
        <v>2</v>
      </c>
      <c r="U1225" s="1">
        <v>0</v>
      </c>
      <c r="V1225" s="1">
        <v>0</v>
      </c>
    </row>
    <row r="1226" spans="1:22" x14ac:dyDescent="0.2">
      <c r="A1226" s="1" t="s">
        <v>1146</v>
      </c>
      <c r="B1226" s="1" t="s">
        <v>1232</v>
      </c>
      <c r="C1226" s="1">
        <v>0</v>
      </c>
      <c r="D1226" s="1">
        <v>0</v>
      </c>
      <c r="E1226" s="1">
        <v>0</v>
      </c>
      <c r="F1226" s="1">
        <v>4</v>
      </c>
      <c r="G1226" s="1">
        <v>2</v>
      </c>
      <c r="H1226" s="1">
        <v>3</v>
      </c>
      <c r="I1226" s="1">
        <v>2</v>
      </c>
      <c r="J1226" s="1">
        <v>1</v>
      </c>
      <c r="K1226" s="1">
        <v>1</v>
      </c>
      <c r="L1226" s="1">
        <v>2</v>
      </c>
      <c r="M1226" s="1">
        <v>6</v>
      </c>
      <c r="N1226" s="1">
        <v>2</v>
      </c>
      <c r="O1226" s="1">
        <v>4</v>
      </c>
      <c r="P1226" s="1">
        <v>8</v>
      </c>
      <c r="Q1226" s="1">
        <v>10</v>
      </c>
      <c r="R1226" s="1">
        <v>16</v>
      </c>
      <c r="S1226" s="1">
        <v>0</v>
      </c>
      <c r="T1226" s="1">
        <v>0</v>
      </c>
      <c r="U1226" s="1">
        <v>0</v>
      </c>
      <c r="V1226" s="1">
        <v>7</v>
      </c>
    </row>
    <row r="1227" spans="1:22" x14ac:dyDescent="0.2">
      <c r="A1227" s="1" t="s">
        <v>1146</v>
      </c>
      <c r="B1227" s="1" t="s">
        <v>1233</v>
      </c>
      <c r="C1227" s="1">
        <v>0</v>
      </c>
      <c r="D1227" s="1">
        <v>0</v>
      </c>
      <c r="E1227" s="1">
        <v>0</v>
      </c>
      <c r="F1227" s="1">
        <v>0</v>
      </c>
      <c r="G1227" s="1">
        <v>0</v>
      </c>
      <c r="H1227" s="1">
        <v>0</v>
      </c>
      <c r="I1227" s="1">
        <v>0</v>
      </c>
      <c r="J1227" s="1">
        <v>0</v>
      </c>
      <c r="K1227" s="1">
        <v>0</v>
      </c>
      <c r="L1227" s="1">
        <v>0</v>
      </c>
      <c r="M1227" s="1">
        <v>0</v>
      </c>
      <c r="N1227" s="1">
        <v>0</v>
      </c>
      <c r="O1227" s="1">
        <v>0</v>
      </c>
      <c r="P1227" s="1">
        <v>0</v>
      </c>
      <c r="Q1227" s="1">
        <v>0</v>
      </c>
      <c r="R1227" s="1">
        <v>0</v>
      </c>
      <c r="S1227" s="1">
        <v>0</v>
      </c>
      <c r="T1227" s="1">
        <v>0</v>
      </c>
      <c r="U1227" s="1">
        <v>0</v>
      </c>
      <c r="V1227" s="1">
        <v>71</v>
      </c>
    </row>
    <row r="1228" spans="1:22" x14ac:dyDescent="0.2">
      <c r="A1228" s="1" t="s">
        <v>1146</v>
      </c>
      <c r="B1228" s="1" t="s">
        <v>1234</v>
      </c>
      <c r="C1228" s="1">
        <v>0</v>
      </c>
      <c r="D1228" s="1">
        <v>0</v>
      </c>
      <c r="E1228" s="1">
        <v>0</v>
      </c>
      <c r="F1228" s="1">
        <v>0</v>
      </c>
      <c r="G1228" s="1">
        <v>0</v>
      </c>
      <c r="H1228" s="1">
        <v>0</v>
      </c>
      <c r="I1228" s="1">
        <v>0</v>
      </c>
      <c r="J1228" s="1">
        <v>0</v>
      </c>
      <c r="K1228" s="1">
        <v>0</v>
      </c>
      <c r="L1228" s="1">
        <v>0</v>
      </c>
      <c r="M1228" s="1">
        <v>0</v>
      </c>
      <c r="N1228" s="1">
        <v>0</v>
      </c>
      <c r="O1228" s="1">
        <v>0</v>
      </c>
      <c r="P1228" s="1">
        <v>0</v>
      </c>
      <c r="Q1228" s="1">
        <v>0</v>
      </c>
      <c r="R1228" s="1">
        <v>0</v>
      </c>
      <c r="S1228" s="1">
        <v>0</v>
      </c>
      <c r="T1228" s="1">
        <v>1</v>
      </c>
      <c r="U1228" s="1">
        <v>9</v>
      </c>
      <c r="V1228" s="1">
        <v>0</v>
      </c>
    </row>
    <row r="1229" spans="1:22" x14ac:dyDescent="0.2">
      <c r="A1229" s="1" t="s">
        <v>1146</v>
      </c>
      <c r="B1229" s="1" t="s">
        <v>1235</v>
      </c>
      <c r="C1229" s="1">
        <v>0</v>
      </c>
      <c r="D1229" s="1">
        <v>0</v>
      </c>
      <c r="E1229" s="1">
        <v>0</v>
      </c>
      <c r="F1229" s="1">
        <v>0</v>
      </c>
      <c r="G1229" s="1">
        <v>0</v>
      </c>
      <c r="H1229" s="1">
        <v>0</v>
      </c>
      <c r="I1229" s="1">
        <v>0</v>
      </c>
      <c r="J1229" s="1">
        <v>0</v>
      </c>
      <c r="K1229" s="1">
        <v>0</v>
      </c>
      <c r="L1229" s="1">
        <v>0</v>
      </c>
      <c r="M1229" s="1">
        <v>0</v>
      </c>
      <c r="N1229" s="1">
        <v>0</v>
      </c>
      <c r="O1229" s="1">
        <v>0</v>
      </c>
      <c r="P1229" s="1">
        <v>0</v>
      </c>
      <c r="Q1229" s="1">
        <v>0</v>
      </c>
      <c r="R1229" s="1">
        <v>0</v>
      </c>
      <c r="S1229" s="1">
        <v>0</v>
      </c>
      <c r="T1229" s="1">
        <v>0</v>
      </c>
      <c r="U1229" s="1">
        <v>0</v>
      </c>
      <c r="V1229" s="1">
        <v>21</v>
      </c>
    </row>
    <row r="1230" spans="1:22" x14ac:dyDescent="0.2">
      <c r="A1230" s="1" t="s">
        <v>1146</v>
      </c>
      <c r="B1230" s="1" t="s">
        <v>1236</v>
      </c>
      <c r="C1230" s="1">
        <v>0</v>
      </c>
      <c r="D1230" s="1">
        <v>0</v>
      </c>
      <c r="E1230" s="1">
        <v>0</v>
      </c>
      <c r="F1230" s="1">
        <v>0</v>
      </c>
      <c r="G1230" s="1">
        <v>0</v>
      </c>
      <c r="H1230" s="1">
        <v>0</v>
      </c>
      <c r="I1230" s="1">
        <v>0</v>
      </c>
      <c r="J1230" s="1">
        <v>0</v>
      </c>
      <c r="K1230" s="1">
        <v>0</v>
      </c>
      <c r="L1230" s="1">
        <v>3</v>
      </c>
      <c r="M1230" s="1">
        <v>1</v>
      </c>
      <c r="N1230" s="1">
        <v>1</v>
      </c>
      <c r="O1230" s="1">
        <v>0</v>
      </c>
      <c r="P1230" s="1">
        <v>1</v>
      </c>
      <c r="Q1230" s="1">
        <v>3</v>
      </c>
      <c r="R1230" s="1">
        <v>1</v>
      </c>
      <c r="S1230" s="1">
        <v>0</v>
      </c>
      <c r="T1230" s="1">
        <v>0</v>
      </c>
      <c r="U1230" s="1">
        <v>0</v>
      </c>
      <c r="V1230" s="1">
        <v>0</v>
      </c>
    </row>
    <row r="1231" spans="1:22" x14ac:dyDescent="0.2">
      <c r="A1231" s="1" t="s">
        <v>1146</v>
      </c>
      <c r="B1231" s="1" t="s">
        <v>1237</v>
      </c>
      <c r="C1231" s="1">
        <v>0</v>
      </c>
      <c r="D1231" s="1">
        <v>0</v>
      </c>
      <c r="E1231" s="1">
        <v>0</v>
      </c>
      <c r="F1231" s="1">
        <v>0</v>
      </c>
      <c r="G1231" s="1">
        <v>0</v>
      </c>
      <c r="H1231" s="1">
        <v>0</v>
      </c>
      <c r="I1231" s="1">
        <v>2</v>
      </c>
      <c r="J1231" s="1">
        <v>5</v>
      </c>
      <c r="K1231" s="1">
        <v>8</v>
      </c>
      <c r="L1231" s="1">
        <v>5</v>
      </c>
      <c r="M1231" s="1">
        <v>8</v>
      </c>
      <c r="N1231" s="1">
        <v>6</v>
      </c>
      <c r="O1231" s="1">
        <v>14</v>
      </c>
      <c r="P1231" s="1">
        <v>2</v>
      </c>
      <c r="Q1231" s="1">
        <v>4</v>
      </c>
      <c r="R1231" s="1">
        <v>2</v>
      </c>
      <c r="S1231" s="1">
        <v>1</v>
      </c>
      <c r="T1231" s="1">
        <v>5</v>
      </c>
      <c r="U1231" s="1">
        <v>2</v>
      </c>
      <c r="V1231" s="1">
        <v>4</v>
      </c>
    </row>
    <row r="1232" spans="1:22" x14ac:dyDescent="0.2">
      <c r="A1232" s="1" t="s">
        <v>1146</v>
      </c>
      <c r="B1232" s="1" t="s">
        <v>1238</v>
      </c>
      <c r="C1232" s="1">
        <f>SUM(C1233:C1239)</f>
        <v>1341</v>
      </c>
      <c r="D1232" s="1">
        <f t="shared" ref="D1232:V1232" si="240">SUM(D1233:D1239)</f>
        <v>1317</v>
      </c>
      <c r="E1232" s="1">
        <f t="shared" si="240"/>
        <v>1794</v>
      </c>
      <c r="F1232" s="1">
        <f t="shared" si="240"/>
        <v>2494</v>
      </c>
      <c r="G1232" s="1">
        <f t="shared" si="240"/>
        <v>2351</v>
      </c>
      <c r="H1232" s="1">
        <f t="shared" si="240"/>
        <v>2345</v>
      </c>
      <c r="I1232" s="1">
        <f t="shared" si="240"/>
        <v>2282</v>
      </c>
      <c r="J1232" s="1">
        <f t="shared" si="240"/>
        <v>2739</v>
      </c>
      <c r="K1232" s="1">
        <f t="shared" si="240"/>
        <v>3306</v>
      </c>
      <c r="L1232" s="1">
        <f t="shared" si="240"/>
        <v>3750</v>
      </c>
      <c r="M1232" s="1">
        <f t="shared" si="240"/>
        <v>4283</v>
      </c>
      <c r="N1232" s="1">
        <f t="shared" si="240"/>
        <v>4529</v>
      </c>
      <c r="O1232" s="1">
        <f t="shared" si="240"/>
        <v>3083</v>
      </c>
      <c r="P1232" s="1">
        <f t="shared" si="240"/>
        <v>3043</v>
      </c>
      <c r="Q1232" s="1">
        <f t="shared" si="240"/>
        <v>3103</v>
      </c>
      <c r="R1232" s="1">
        <f t="shared" si="240"/>
        <v>3353</v>
      </c>
      <c r="S1232" s="1">
        <f t="shared" si="240"/>
        <v>3376</v>
      </c>
      <c r="T1232" s="1">
        <f t="shared" si="240"/>
        <v>3468</v>
      </c>
      <c r="U1232" s="1">
        <f t="shared" si="240"/>
        <v>3440</v>
      </c>
      <c r="V1232" s="1">
        <f t="shared" si="240"/>
        <v>3526</v>
      </c>
    </row>
    <row r="1233" spans="1:22" x14ac:dyDescent="0.2">
      <c r="A1233" s="1" t="s">
        <v>1146</v>
      </c>
      <c r="B1233" s="1" t="s">
        <v>1239</v>
      </c>
      <c r="C1233" s="1">
        <v>729</v>
      </c>
      <c r="D1233" s="1">
        <v>755</v>
      </c>
      <c r="E1233" s="1">
        <v>1119</v>
      </c>
      <c r="F1233" s="1">
        <v>1783</v>
      </c>
      <c r="G1233" s="1">
        <v>1625</v>
      </c>
      <c r="H1233" s="1">
        <v>1620</v>
      </c>
      <c r="I1233" s="1">
        <v>1571</v>
      </c>
      <c r="J1233" s="1">
        <v>1914</v>
      </c>
      <c r="K1233" s="1">
        <v>2441</v>
      </c>
      <c r="L1233" s="1">
        <v>2843</v>
      </c>
      <c r="M1233" s="1">
        <v>3349</v>
      </c>
      <c r="N1233" s="1">
        <v>3605</v>
      </c>
      <c r="O1233" s="1">
        <v>2346</v>
      </c>
      <c r="P1233" s="1">
        <v>2298</v>
      </c>
      <c r="Q1233" s="1">
        <v>2408</v>
      </c>
      <c r="R1233" s="1">
        <v>2521</v>
      </c>
      <c r="S1233" s="1">
        <v>2582</v>
      </c>
      <c r="T1233" s="1">
        <v>2638</v>
      </c>
      <c r="U1233" s="1">
        <v>2621</v>
      </c>
      <c r="V1233" s="1">
        <v>2806</v>
      </c>
    </row>
    <row r="1234" spans="1:22" x14ac:dyDescent="0.2">
      <c r="A1234" s="1" t="s">
        <v>1146</v>
      </c>
      <c r="B1234" s="1" t="s">
        <v>1240</v>
      </c>
      <c r="C1234" s="1">
        <v>67</v>
      </c>
      <c r="D1234" s="1">
        <v>42</v>
      </c>
      <c r="E1234" s="1">
        <v>64</v>
      </c>
      <c r="F1234" s="1">
        <v>68</v>
      </c>
      <c r="G1234" s="1">
        <v>112</v>
      </c>
      <c r="H1234" s="1">
        <v>86</v>
      </c>
      <c r="I1234" s="1">
        <v>96</v>
      </c>
      <c r="J1234" s="1">
        <v>83</v>
      </c>
      <c r="K1234" s="1">
        <v>78</v>
      </c>
      <c r="L1234" s="1">
        <v>86</v>
      </c>
      <c r="M1234" s="1">
        <v>75</v>
      </c>
      <c r="N1234" s="1">
        <v>73</v>
      </c>
      <c r="O1234" s="1">
        <v>63</v>
      </c>
      <c r="P1234" s="1">
        <v>93</v>
      </c>
      <c r="Q1234" s="1">
        <v>84</v>
      </c>
      <c r="R1234" s="1">
        <v>142</v>
      </c>
      <c r="S1234" s="1">
        <v>99</v>
      </c>
      <c r="T1234" s="1">
        <v>133</v>
      </c>
      <c r="U1234" s="1">
        <v>149</v>
      </c>
      <c r="V1234" s="1">
        <v>169</v>
      </c>
    </row>
    <row r="1235" spans="1:22" x14ac:dyDescent="0.2">
      <c r="A1235" s="1" t="s">
        <v>1146</v>
      </c>
      <c r="B1235" s="1" t="s">
        <v>1241</v>
      </c>
      <c r="C1235" s="1">
        <v>1</v>
      </c>
      <c r="D1235" s="1">
        <v>2</v>
      </c>
      <c r="E1235" s="1">
        <v>3</v>
      </c>
      <c r="F1235" s="1">
        <v>1</v>
      </c>
      <c r="G1235" s="1">
        <v>0</v>
      </c>
      <c r="H1235" s="1">
        <v>1</v>
      </c>
      <c r="I1235" s="1">
        <v>0</v>
      </c>
      <c r="J1235" s="1">
        <v>0</v>
      </c>
      <c r="K1235" s="1">
        <v>0</v>
      </c>
      <c r="L1235" s="1">
        <v>0</v>
      </c>
      <c r="M1235" s="1">
        <v>0</v>
      </c>
      <c r="N1235" s="1">
        <v>1</v>
      </c>
      <c r="O1235" s="1">
        <v>2</v>
      </c>
      <c r="P1235" s="1">
        <v>0</v>
      </c>
      <c r="Q1235" s="1">
        <v>0</v>
      </c>
      <c r="R1235" s="1">
        <v>1</v>
      </c>
      <c r="S1235" s="1">
        <v>0</v>
      </c>
      <c r="T1235" s="1">
        <v>0</v>
      </c>
      <c r="U1235" s="1">
        <v>0</v>
      </c>
      <c r="V1235" s="1">
        <v>0</v>
      </c>
    </row>
    <row r="1236" spans="1:22" x14ac:dyDescent="0.2">
      <c r="A1236" s="1" t="s">
        <v>1146</v>
      </c>
      <c r="B1236" s="1" t="s">
        <v>1242</v>
      </c>
      <c r="C1236" s="1">
        <v>273</v>
      </c>
      <c r="D1236" s="1">
        <v>223</v>
      </c>
      <c r="E1236" s="1">
        <v>276</v>
      </c>
      <c r="F1236" s="1">
        <v>299</v>
      </c>
      <c r="G1236" s="1">
        <v>290</v>
      </c>
      <c r="H1236" s="1">
        <v>289</v>
      </c>
      <c r="I1236" s="1">
        <v>286</v>
      </c>
      <c r="J1236" s="1">
        <v>307</v>
      </c>
      <c r="K1236" s="1">
        <v>314</v>
      </c>
      <c r="L1236" s="1">
        <v>336</v>
      </c>
      <c r="M1236" s="1">
        <v>166</v>
      </c>
      <c r="N1236" s="1">
        <v>124</v>
      </c>
      <c r="O1236" s="1">
        <v>19</v>
      </c>
      <c r="P1236" s="1">
        <v>0</v>
      </c>
      <c r="Q1236" s="1">
        <v>0</v>
      </c>
      <c r="R1236" s="1">
        <v>1</v>
      </c>
      <c r="S1236" s="1">
        <v>0</v>
      </c>
      <c r="T1236" s="1">
        <v>13</v>
      </c>
      <c r="U1236" s="1">
        <v>0</v>
      </c>
      <c r="V1236" s="1">
        <v>0</v>
      </c>
    </row>
    <row r="1237" spans="1:22" x14ac:dyDescent="0.2">
      <c r="A1237" s="1" t="s">
        <v>1146</v>
      </c>
      <c r="B1237" s="1" t="s">
        <v>1243</v>
      </c>
      <c r="C1237" s="1">
        <v>0</v>
      </c>
      <c r="D1237" s="1">
        <v>0</v>
      </c>
      <c r="E1237" s="1">
        <v>0</v>
      </c>
      <c r="F1237" s="1">
        <v>0</v>
      </c>
      <c r="G1237" s="1">
        <v>0</v>
      </c>
      <c r="H1237" s="1">
        <v>0</v>
      </c>
      <c r="I1237" s="1">
        <v>0</v>
      </c>
      <c r="J1237" s="1">
        <v>0</v>
      </c>
      <c r="K1237" s="1">
        <v>0</v>
      </c>
      <c r="L1237" s="1">
        <v>0</v>
      </c>
      <c r="M1237" s="1">
        <v>230</v>
      </c>
      <c r="N1237" s="1">
        <v>269</v>
      </c>
      <c r="O1237" s="1">
        <v>293</v>
      </c>
      <c r="P1237" s="1">
        <v>268</v>
      </c>
      <c r="Q1237" s="1">
        <v>233</v>
      </c>
      <c r="R1237" s="1">
        <v>273</v>
      </c>
      <c r="S1237" s="1">
        <v>257</v>
      </c>
      <c r="T1237" s="1">
        <v>248</v>
      </c>
      <c r="U1237" s="1">
        <v>273</v>
      </c>
      <c r="V1237" s="1">
        <v>270</v>
      </c>
    </row>
    <row r="1238" spans="1:22" x14ac:dyDescent="0.2">
      <c r="A1238" s="1" t="s">
        <v>1146</v>
      </c>
      <c r="B1238" s="1" t="s">
        <v>1244</v>
      </c>
      <c r="C1238" s="1">
        <v>271</v>
      </c>
      <c r="D1238" s="1">
        <v>295</v>
      </c>
      <c r="E1238" s="1">
        <v>332</v>
      </c>
      <c r="F1238" s="1">
        <v>343</v>
      </c>
      <c r="G1238" s="1">
        <v>324</v>
      </c>
      <c r="H1238" s="1">
        <v>349</v>
      </c>
      <c r="I1238" s="1">
        <v>329</v>
      </c>
      <c r="J1238" s="1">
        <v>435</v>
      </c>
      <c r="K1238" s="1">
        <v>473</v>
      </c>
      <c r="L1238" s="1">
        <v>485</v>
      </c>
      <c r="M1238" s="1">
        <v>463</v>
      </c>
      <c r="N1238" s="1">
        <v>457</v>
      </c>
      <c r="O1238" s="1">
        <v>360</v>
      </c>
      <c r="P1238" s="1">
        <v>384</v>
      </c>
      <c r="Q1238" s="1">
        <v>378</v>
      </c>
      <c r="R1238" s="1">
        <v>415</v>
      </c>
      <c r="S1238" s="1">
        <v>438</v>
      </c>
      <c r="T1238" s="1">
        <v>436</v>
      </c>
      <c r="U1238" s="1">
        <v>397</v>
      </c>
      <c r="V1238" s="1">
        <v>281</v>
      </c>
    </row>
    <row r="1239" spans="1:22" x14ac:dyDescent="0.2">
      <c r="A1239" s="1" t="s">
        <v>1146</v>
      </c>
      <c r="B1239" s="1" t="s">
        <v>1245</v>
      </c>
      <c r="C1239" s="1">
        <v>0</v>
      </c>
      <c r="D1239" s="1">
        <v>0</v>
      </c>
      <c r="E1239" s="1">
        <v>0</v>
      </c>
      <c r="F1239" s="1">
        <v>0</v>
      </c>
      <c r="G1239" s="1">
        <v>0</v>
      </c>
      <c r="H1239" s="1">
        <v>0</v>
      </c>
      <c r="I1239" s="1">
        <v>0</v>
      </c>
      <c r="J1239" s="1">
        <v>0</v>
      </c>
      <c r="K1239" s="1">
        <v>0</v>
      </c>
      <c r="L1239" s="1">
        <v>0</v>
      </c>
      <c r="M1239" s="1">
        <v>0</v>
      </c>
      <c r="N1239" s="1">
        <v>0</v>
      </c>
      <c r="O1239" s="1">
        <v>0</v>
      </c>
      <c r="P1239" s="1">
        <v>0</v>
      </c>
      <c r="Q1239" s="1">
        <v>0</v>
      </c>
      <c r="R1239" s="1">
        <v>0</v>
      </c>
      <c r="S1239" s="1">
        <v>0</v>
      </c>
      <c r="T1239" s="1">
        <v>0</v>
      </c>
      <c r="U1239" s="1">
        <v>0</v>
      </c>
      <c r="V1239" s="1">
        <v>0</v>
      </c>
    </row>
    <row r="1240" spans="1:22" x14ac:dyDescent="0.2">
      <c r="A1240" s="1" t="s">
        <v>1146</v>
      </c>
      <c r="B1240" s="1" t="s">
        <v>1246</v>
      </c>
      <c r="C1240" s="1">
        <f>SUM(C1241:C1244)</f>
        <v>1</v>
      </c>
      <c r="D1240" s="1">
        <f t="shared" ref="D1240:V1240" si="241">SUM(D1241:D1244)</f>
        <v>0</v>
      </c>
      <c r="E1240" s="1">
        <f t="shared" si="241"/>
        <v>0</v>
      </c>
      <c r="F1240" s="1">
        <f t="shared" si="241"/>
        <v>0</v>
      </c>
      <c r="G1240" s="1">
        <f t="shared" si="241"/>
        <v>0</v>
      </c>
      <c r="H1240" s="1">
        <f t="shared" si="241"/>
        <v>1</v>
      </c>
      <c r="I1240" s="1">
        <f t="shared" si="241"/>
        <v>2</v>
      </c>
      <c r="J1240" s="1">
        <f t="shared" si="241"/>
        <v>0</v>
      </c>
      <c r="K1240" s="1">
        <f t="shared" si="241"/>
        <v>1</v>
      </c>
      <c r="L1240" s="1">
        <f t="shared" si="241"/>
        <v>2</v>
      </c>
      <c r="M1240" s="1">
        <f t="shared" si="241"/>
        <v>0</v>
      </c>
      <c r="N1240" s="1">
        <f t="shared" si="241"/>
        <v>0</v>
      </c>
      <c r="O1240" s="1">
        <f t="shared" si="241"/>
        <v>0</v>
      </c>
      <c r="P1240" s="1">
        <f t="shared" si="241"/>
        <v>0</v>
      </c>
      <c r="Q1240" s="1">
        <f t="shared" si="241"/>
        <v>4</v>
      </c>
      <c r="R1240" s="1">
        <f t="shared" si="241"/>
        <v>0</v>
      </c>
      <c r="S1240" s="1">
        <f t="shared" si="241"/>
        <v>1</v>
      </c>
      <c r="T1240" s="1">
        <f t="shared" si="241"/>
        <v>1</v>
      </c>
      <c r="U1240" s="1">
        <f t="shared" si="241"/>
        <v>0</v>
      </c>
      <c r="V1240" s="1">
        <f t="shared" si="241"/>
        <v>1</v>
      </c>
    </row>
    <row r="1241" spans="1:22" x14ac:dyDescent="0.2">
      <c r="A1241" s="1" t="s">
        <v>1146</v>
      </c>
      <c r="B1241" s="1" t="s">
        <v>1247</v>
      </c>
      <c r="C1241" s="1">
        <v>1</v>
      </c>
      <c r="D1241" s="1">
        <v>0</v>
      </c>
      <c r="E1241" s="1">
        <v>0</v>
      </c>
      <c r="F1241" s="1">
        <v>0</v>
      </c>
      <c r="G1241" s="1">
        <v>0</v>
      </c>
      <c r="H1241" s="1">
        <v>1</v>
      </c>
      <c r="I1241" s="1">
        <v>0</v>
      </c>
      <c r="J1241" s="1">
        <v>0</v>
      </c>
      <c r="K1241" s="1">
        <v>0</v>
      </c>
      <c r="L1241" s="1">
        <v>1</v>
      </c>
      <c r="M1241" s="1">
        <v>0</v>
      </c>
      <c r="N1241" s="1">
        <v>0</v>
      </c>
      <c r="O1241" s="1">
        <v>0</v>
      </c>
      <c r="P1241" s="1">
        <v>0</v>
      </c>
      <c r="Q1241" s="1">
        <v>0</v>
      </c>
      <c r="R1241" s="1">
        <v>0</v>
      </c>
      <c r="S1241" s="1">
        <v>1</v>
      </c>
      <c r="T1241" s="1">
        <v>0</v>
      </c>
      <c r="U1241" s="1">
        <v>0</v>
      </c>
      <c r="V1241" s="1">
        <v>0</v>
      </c>
    </row>
    <row r="1242" spans="1:22" x14ac:dyDescent="0.2">
      <c r="A1242" s="1" t="s">
        <v>1146</v>
      </c>
      <c r="B1242" s="1" t="s">
        <v>1248</v>
      </c>
      <c r="C1242" s="1">
        <v>0</v>
      </c>
      <c r="D1242" s="1">
        <v>0</v>
      </c>
      <c r="E1242" s="1">
        <v>0</v>
      </c>
      <c r="F1242" s="1">
        <v>0</v>
      </c>
      <c r="G1242" s="1">
        <v>0</v>
      </c>
      <c r="H1242" s="1">
        <v>0</v>
      </c>
      <c r="I1242" s="1">
        <v>0</v>
      </c>
      <c r="J1242" s="1">
        <v>0</v>
      </c>
      <c r="K1242" s="1">
        <v>0</v>
      </c>
      <c r="L1242" s="1">
        <v>0</v>
      </c>
      <c r="M1242" s="1">
        <v>0</v>
      </c>
      <c r="N1242" s="1">
        <v>0</v>
      </c>
      <c r="O1242" s="1">
        <v>0</v>
      </c>
      <c r="P1242" s="1">
        <v>0</v>
      </c>
      <c r="Q1242" s="1">
        <v>2</v>
      </c>
      <c r="R1242" s="1">
        <v>0</v>
      </c>
      <c r="S1242" s="1">
        <v>0</v>
      </c>
      <c r="T1242" s="1">
        <v>0</v>
      </c>
      <c r="U1242" s="1">
        <v>0</v>
      </c>
      <c r="V1242" s="1">
        <v>0</v>
      </c>
    </row>
    <row r="1243" spans="1:22" x14ac:dyDescent="0.2">
      <c r="A1243" s="1" t="s">
        <v>1146</v>
      </c>
      <c r="B1243" s="1" t="s">
        <v>1249</v>
      </c>
      <c r="C1243" s="1">
        <v>0</v>
      </c>
      <c r="D1243" s="1">
        <v>0</v>
      </c>
      <c r="E1243" s="1">
        <v>0</v>
      </c>
      <c r="F1243" s="1">
        <v>0</v>
      </c>
      <c r="G1243" s="1">
        <v>0</v>
      </c>
      <c r="H1243" s="1">
        <v>0</v>
      </c>
      <c r="I1243" s="1">
        <v>2</v>
      </c>
      <c r="J1243" s="1">
        <v>0</v>
      </c>
      <c r="K1243" s="1">
        <v>1</v>
      </c>
      <c r="L1243" s="1">
        <v>1</v>
      </c>
      <c r="M1243" s="1">
        <v>0</v>
      </c>
      <c r="N1243" s="1">
        <v>0</v>
      </c>
      <c r="O1243" s="1">
        <v>0</v>
      </c>
      <c r="P1243" s="1">
        <v>0</v>
      </c>
      <c r="Q1243" s="1">
        <v>0</v>
      </c>
      <c r="U1243" s="1">
        <v>0</v>
      </c>
      <c r="V1243" s="1">
        <v>1</v>
      </c>
    </row>
    <row r="1244" spans="1:22" x14ac:dyDescent="0.2">
      <c r="A1244" s="1" t="s">
        <v>1146</v>
      </c>
      <c r="B1244" s="1" t="s">
        <v>1250</v>
      </c>
      <c r="C1244" s="1">
        <v>0</v>
      </c>
      <c r="D1244" s="1">
        <v>0</v>
      </c>
      <c r="E1244" s="1">
        <v>0</v>
      </c>
      <c r="F1244" s="1">
        <v>0</v>
      </c>
      <c r="G1244" s="1">
        <v>0</v>
      </c>
      <c r="H1244" s="1">
        <v>0</v>
      </c>
      <c r="I1244" s="1">
        <v>0</v>
      </c>
      <c r="J1244" s="1">
        <v>0</v>
      </c>
      <c r="K1244" s="1">
        <v>0</v>
      </c>
      <c r="L1244" s="1">
        <v>0</v>
      </c>
      <c r="M1244" s="1">
        <v>0</v>
      </c>
      <c r="N1244" s="1">
        <v>0</v>
      </c>
      <c r="O1244" s="1">
        <v>0</v>
      </c>
      <c r="P1244" s="1">
        <v>0</v>
      </c>
      <c r="Q1244" s="1">
        <v>2</v>
      </c>
      <c r="R1244" s="1">
        <v>0</v>
      </c>
      <c r="S1244" s="1">
        <v>0</v>
      </c>
      <c r="T1244" s="1">
        <v>1</v>
      </c>
      <c r="U1244" s="1">
        <v>0</v>
      </c>
      <c r="V1244" s="1">
        <v>0</v>
      </c>
    </row>
    <row r="1245" spans="1:22" x14ac:dyDescent="0.2">
      <c r="A1245" s="1" t="s">
        <v>1146</v>
      </c>
      <c r="B1245" s="1" t="s">
        <v>1251</v>
      </c>
      <c r="C1245" s="1">
        <f>SUM(C1246:C1259)</f>
        <v>992</v>
      </c>
      <c r="D1245" s="1">
        <f>SUM(D1246:D1259)</f>
        <v>933</v>
      </c>
      <c r="E1245" s="1">
        <f>SUM(E1246:E1259)</f>
        <v>1043</v>
      </c>
      <c r="F1245" s="1">
        <f>SUM(F1246:F1259)</f>
        <v>1054</v>
      </c>
      <c r="G1245" s="1">
        <f t="shared" ref="G1245:R1245" si="242">SUM(G1246:G1259)</f>
        <v>954</v>
      </c>
      <c r="H1245" s="1">
        <f t="shared" si="242"/>
        <v>897</v>
      </c>
      <c r="I1245" s="1">
        <f t="shared" si="242"/>
        <v>940</v>
      </c>
      <c r="J1245" s="1">
        <f t="shared" si="242"/>
        <v>1000</v>
      </c>
      <c r="K1245" s="1">
        <f t="shared" si="242"/>
        <v>1070</v>
      </c>
      <c r="L1245" s="1">
        <f t="shared" si="242"/>
        <v>1241</v>
      </c>
      <c r="M1245" s="1">
        <f t="shared" si="242"/>
        <v>1154</v>
      </c>
      <c r="N1245" s="1">
        <f t="shared" si="242"/>
        <v>1062</v>
      </c>
      <c r="O1245" s="1">
        <f t="shared" si="242"/>
        <v>963</v>
      </c>
      <c r="P1245" s="1">
        <f t="shared" si="242"/>
        <v>1169</v>
      </c>
      <c r="Q1245" s="1">
        <f t="shared" si="242"/>
        <v>1179</v>
      </c>
      <c r="R1245" s="1">
        <f t="shared" si="242"/>
        <v>1336</v>
      </c>
      <c r="S1245" s="1">
        <f>SUM(S1246:S1259)</f>
        <v>1307</v>
      </c>
      <c r="T1245" s="1">
        <f>SUM(T1246:T1259)</f>
        <v>1240</v>
      </c>
      <c r="U1245" s="1">
        <f>SUM(U1246:U1259)</f>
        <v>1355</v>
      </c>
      <c r="V1245" s="1">
        <f>SUM(V1246:V1259)</f>
        <v>1795</v>
      </c>
    </row>
    <row r="1246" spans="1:22" x14ac:dyDescent="0.2">
      <c r="A1246" s="1" t="s">
        <v>1146</v>
      </c>
      <c r="B1246" s="1" t="s">
        <v>1252</v>
      </c>
      <c r="C1246" s="1">
        <v>17</v>
      </c>
      <c r="D1246" s="1">
        <v>14</v>
      </c>
      <c r="E1246" s="1">
        <v>27</v>
      </c>
      <c r="F1246" s="1">
        <v>28</v>
      </c>
      <c r="G1246" s="1">
        <v>19</v>
      </c>
      <c r="H1246" s="1">
        <v>20</v>
      </c>
      <c r="I1246" s="1">
        <v>15</v>
      </c>
      <c r="J1246" s="1">
        <v>10</v>
      </c>
      <c r="K1246" s="1">
        <v>11</v>
      </c>
      <c r="L1246" s="1">
        <v>39</v>
      </c>
      <c r="M1246" s="1">
        <v>22</v>
      </c>
      <c r="N1246" s="1">
        <v>20</v>
      </c>
      <c r="O1246" s="1">
        <v>17</v>
      </c>
      <c r="P1246" s="1">
        <v>13</v>
      </c>
      <c r="Q1246" s="1">
        <v>14</v>
      </c>
      <c r="R1246" s="1">
        <v>18</v>
      </c>
      <c r="S1246" s="1">
        <v>17</v>
      </c>
      <c r="T1246" s="1">
        <v>21</v>
      </c>
      <c r="U1246" s="1">
        <v>26</v>
      </c>
      <c r="V1246" s="1">
        <v>22</v>
      </c>
    </row>
    <row r="1247" spans="1:22" x14ac:dyDescent="0.2">
      <c r="A1247" s="1" t="s">
        <v>1146</v>
      </c>
      <c r="B1247" s="1" t="s">
        <v>1253</v>
      </c>
      <c r="C1247" s="1">
        <v>4</v>
      </c>
      <c r="D1247" s="1">
        <v>6</v>
      </c>
      <c r="E1247" s="1">
        <v>9</v>
      </c>
      <c r="F1247" s="1">
        <v>19</v>
      </c>
      <c r="G1247" s="1">
        <v>11</v>
      </c>
      <c r="H1247" s="1">
        <v>12</v>
      </c>
      <c r="I1247" s="1">
        <v>7</v>
      </c>
      <c r="J1247" s="1">
        <v>6</v>
      </c>
      <c r="K1247" s="1">
        <v>8</v>
      </c>
      <c r="L1247" s="1">
        <v>5</v>
      </c>
      <c r="M1247" s="1">
        <v>2</v>
      </c>
      <c r="N1247" s="1">
        <v>7</v>
      </c>
      <c r="O1247" s="1">
        <v>3</v>
      </c>
      <c r="P1247" s="1">
        <v>8</v>
      </c>
      <c r="Q1247" s="1">
        <v>6</v>
      </c>
      <c r="R1247" s="1">
        <v>12</v>
      </c>
      <c r="S1247" s="1">
        <v>15</v>
      </c>
      <c r="T1247" s="1">
        <v>12</v>
      </c>
      <c r="U1247" s="1">
        <v>7</v>
      </c>
      <c r="V1247" s="1">
        <v>17</v>
      </c>
    </row>
    <row r="1248" spans="1:22" x14ac:dyDescent="0.2">
      <c r="A1248" s="1" t="s">
        <v>1146</v>
      </c>
      <c r="B1248" s="1" t="s">
        <v>1254</v>
      </c>
      <c r="C1248" s="1">
        <v>2</v>
      </c>
      <c r="D1248" s="1">
        <v>0</v>
      </c>
      <c r="E1248" s="1">
        <v>0</v>
      </c>
      <c r="F1248" s="1">
        <v>0</v>
      </c>
      <c r="G1248" s="1">
        <v>0</v>
      </c>
      <c r="H1248" s="1">
        <v>0</v>
      </c>
      <c r="I1248" s="1">
        <v>0</v>
      </c>
      <c r="J1248" s="1">
        <v>0</v>
      </c>
      <c r="K1248" s="1">
        <v>0</v>
      </c>
      <c r="L1248" s="1">
        <v>0</v>
      </c>
      <c r="M1248" s="1">
        <v>0</v>
      </c>
      <c r="N1248" s="1">
        <v>0</v>
      </c>
      <c r="O1248" s="1">
        <v>0</v>
      </c>
      <c r="P1248" s="1">
        <v>0</v>
      </c>
      <c r="Q1248" s="1">
        <v>13</v>
      </c>
      <c r="R1248" s="1">
        <v>10</v>
      </c>
      <c r="S1248" s="1">
        <v>10</v>
      </c>
      <c r="T1248" s="1">
        <v>9</v>
      </c>
      <c r="U1248" s="1">
        <v>22</v>
      </c>
      <c r="V1248" s="1">
        <v>24</v>
      </c>
    </row>
    <row r="1249" spans="1:22" x14ac:dyDescent="0.2">
      <c r="A1249" s="1" t="s">
        <v>1146</v>
      </c>
      <c r="B1249" s="1" t="s">
        <v>1255</v>
      </c>
      <c r="C1249" s="1">
        <v>7</v>
      </c>
      <c r="D1249" s="1">
        <v>8</v>
      </c>
      <c r="E1249" s="1">
        <v>7</v>
      </c>
      <c r="F1249" s="1">
        <v>6</v>
      </c>
      <c r="G1249" s="1">
        <v>3</v>
      </c>
      <c r="H1249" s="1">
        <v>7</v>
      </c>
      <c r="I1249" s="1">
        <v>11</v>
      </c>
      <c r="J1249" s="1">
        <v>3</v>
      </c>
      <c r="K1249" s="1">
        <v>8</v>
      </c>
      <c r="L1249" s="1">
        <v>11</v>
      </c>
      <c r="M1249" s="1">
        <v>9</v>
      </c>
      <c r="N1249" s="1">
        <v>10</v>
      </c>
      <c r="O1249" s="1">
        <v>22</v>
      </c>
      <c r="P1249" s="1">
        <v>7</v>
      </c>
      <c r="Q1249" s="1">
        <v>2</v>
      </c>
      <c r="R1249" s="1">
        <v>7</v>
      </c>
      <c r="S1249" s="1">
        <v>3</v>
      </c>
      <c r="T1249" s="1">
        <v>7</v>
      </c>
      <c r="U1249" s="1">
        <v>7</v>
      </c>
      <c r="V1249" s="1">
        <v>5</v>
      </c>
    </row>
    <row r="1250" spans="1:22" x14ac:dyDescent="0.2">
      <c r="A1250" s="1" t="s">
        <v>1146</v>
      </c>
      <c r="B1250" s="1" t="s">
        <v>1256</v>
      </c>
      <c r="C1250" s="1">
        <v>0</v>
      </c>
      <c r="D1250" s="1">
        <v>0</v>
      </c>
      <c r="E1250" s="1">
        <v>0</v>
      </c>
      <c r="F1250" s="1">
        <v>0</v>
      </c>
      <c r="G1250" s="1">
        <v>0</v>
      </c>
      <c r="H1250" s="1">
        <v>2</v>
      </c>
      <c r="I1250" s="1">
        <v>1</v>
      </c>
      <c r="J1250" s="1">
        <v>2</v>
      </c>
      <c r="K1250" s="1">
        <v>1</v>
      </c>
      <c r="L1250" s="1">
        <v>1</v>
      </c>
      <c r="M1250" s="1">
        <v>1</v>
      </c>
      <c r="N1250" s="1">
        <v>0</v>
      </c>
      <c r="O1250" s="1">
        <v>2</v>
      </c>
      <c r="P1250" s="1">
        <v>13</v>
      </c>
      <c r="Q1250" s="1">
        <v>3</v>
      </c>
      <c r="R1250" s="1">
        <v>1</v>
      </c>
      <c r="S1250" s="1">
        <v>3</v>
      </c>
      <c r="T1250" s="1">
        <v>0</v>
      </c>
      <c r="U1250" s="1">
        <v>0</v>
      </c>
      <c r="V1250" s="1">
        <v>8</v>
      </c>
    </row>
    <row r="1251" spans="1:22" x14ac:dyDescent="0.2">
      <c r="A1251" s="1" t="s">
        <v>1146</v>
      </c>
      <c r="B1251" s="1" t="s">
        <v>1257</v>
      </c>
      <c r="C1251" s="1">
        <v>3</v>
      </c>
      <c r="D1251" s="1">
        <v>0</v>
      </c>
      <c r="E1251" s="1">
        <v>0</v>
      </c>
      <c r="F1251" s="1">
        <v>0</v>
      </c>
      <c r="G1251" s="1">
        <v>13</v>
      </c>
      <c r="H1251" s="1">
        <v>4</v>
      </c>
      <c r="I1251" s="1">
        <v>5</v>
      </c>
      <c r="J1251" s="1">
        <v>18</v>
      </c>
      <c r="K1251" s="1">
        <v>4</v>
      </c>
      <c r="L1251" s="1">
        <v>2</v>
      </c>
      <c r="M1251" s="1">
        <v>2</v>
      </c>
      <c r="N1251" s="1">
        <v>0</v>
      </c>
      <c r="O1251" s="1">
        <v>1</v>
      </c>
      <c r="P1251" s="1">
        <v>0</v>
      </c>
      <c r="Q1251" s="1">
        <v>1</v>
      </c>
      <c r="R1251" s="1">
        <v>0</v>
      </c>
      <c r="S1251" s="1">
        <v>1</v>
      </c>
      <c r="T1251" s="1">
        <v>1</v>
      </c>
      <c r="U1251" s="1">
        <v>0</v>
      </c>
      <c r="V1251" s="1">
        <v>0</v>
      </c>
    </row>
    <row r="1252" spans="1:22" x14ac:dyDescent="0.2">
      <c r="A1252" s="1" t="s">
        <v>1146</v>
      </c>
      <c r="B1252" s="1" t="s">
        <v>1258</v>
      </c>
      <c r="C1252" s="1">
        <v>0</v>
      </c>
      <c r="D1252" s="1">
        <v>0</v>
      </c>
      <c r="E1252" s="1">
        <v>0</v>
      </c>
      <c r="F1252" s="1">
        <v>0</v>
      </c>
      <c r="G1252" s="1">
        <v>0</v>
      </c>
      <c r="H1252" s="1">
        <v>0</v>
      </c>
      <c r="I1252" s="1">
        <v>0</v>
      </c>
      <c r="J1252" s="1">
        <v>0</v>
      </c>
      <c r="K1252" s="1">
        <v>0</v>
      </c>
      <c r="L1252" s="1">
        <v>0</v>
      </c>
      <c r="M1252" s="1">
        <v>0</v>
      </c>
      <c r="N1252" s="1">
        <v>0</v>
      </c>
      <c r="O1252" s="1">
        <v>3</v>
      </c>
      <c r="P1252" s="1">
        <v>0</v>
      </c>
      <c r="Q1252" s="1">
        <v>0</v>
      </c>
      <c r="R1252" s="1">
        <v>0</v>
      </c>
      <c r="S1252" s="1">
        <v>0</v>
      </c>
      <c r="T1252" s="1">
        <v>0</v>
      </c>
      <c r="U1252" s="1">
        <v>0</v>
      </c>
      <c r="V1252" s="1">
        <v>0</v>
      </c>
    </row>
    <row r="1253" spans="1:22" x14ac:dyDescent="0.2">
      <c r="A1253" s="1" t="s">
        <v>1146</v>
      </c>
      <c r="B1253" s="1" t="s">
        <v>1259</v>
      </c>
      <c r="C1253" s="1">
        <v>0</v>
      </c>
      <c r="D1253" s="1">
        <v>0</v>
      </c>
      <c r="E1253" s="1">
        <v>0</v>
      </c>
      <c r="F1253" s="1">
        <v>0</v>
      </c>
      <c r="G1253" s="1">
        <v>0</v>
      </c>
      <c r="H1253" s="1">
        <v>0</v>
      </c>
      <c r="I1253" s="1">
        <v>0</v>
      </c>
      <c r="J1253" s="1">
        <v>0</v>
      </c>
      <c r="K1253" s="1">
        <v>1</v>
      </c>
      <c r="L1253" s="1">
        <v>0</v>
      </c>
      <c r="M1253" s="1">
        <v>1</v>
      </c>
      <c r="N1253" s="1">
        <v>1</v>
      </c>
      <c r="O1253" s="1">
        <v>1</v>
      </c>
      <c r="P1253" s="1">
        <v>2</v>
      </c>
      <c r="Q1253" s="1">
        <v>3</v>
      </c>
      <c r="R1253" s="1">
        <v>1</v>
      </c>
      <c r="S1253" s="1">
        <v>1</v>
      </c>
      <c r="T1253" s="1">
        <v>0</v>
      </c>
      <c r="U1253" s="1">
        <v>0</v>
      </c>
      <c r="V1253" s="1">
        <v>1</v>
      </c>
    </row>
    <row r="1254" spans="1:22" x14ac:dyDescent="0.2">
      <c r="A1254" s="1" t="s">
        <v>1146</v>
      </c>
      <c r="B1254" s="1" t="s">
        <v>1260</v>
      </c>
      <c r="C1254" s="1">
        <v>0</v>
      </c>
      <c r="D1254" s="1">
        <v>0</v>
      </c>
      <c r="E1254" s="1">
        <v>0</v>
      </c>
      <c r="F1254" s="1">
        <v>0</v>
      </c>
      <c r="G1254" s="1">
        <v>7</v>
      </c>
      <c r="H1254" s="1">
        <v>5</v>
      </c>
      <c r="I1254" s="1">
        <v>11</v>
      </c>
      <c r="J1254" s="1">
        <v>21</v>
      </c>
      <c r="K1254" s="1">
        <v>32</v>
      </c>
      <c r="L1254" s="1">
        <v>51</v>
      </c>
      <c r="M1254" s="1">
        <v>39</v>
      </c>
      <c r="N1254" s="1">
        <v>67</v>
      </c>
      <c r="O1254" s="1">
        <v>49</v>
      </c>
      <c r="P1254" s="1">
        <v>183</v>
      </c>
      <c r="Q1254" s="1">
        <v>223</v>
      </c>
      <c r="R1254" s="1">
        <v>255</v>
      </c>
      <c r="S1254" s="1">
        <v>241</v>
      </c>
      <c r="T1254" s="1">
        <v>142</v>
      </c>
      <c r="U1254" s="1">
        <v>221</v>
      </c>
      <c r="V1254" s="1">
        <v>537</v>
      </c>
    </row>
    <row r="1255" spans="1:22" x14ac:dyDescent="0.2">
      <c r="A1255" s="1" t="s">
        <v>1146</v>
      </c>
      <c r="B1255" s="1" t="s">
        <v>1261</v>
      </c>
      <c r="C1255" s="1">
        <v>11</v>
      </c>
      <c r="D1255" s="1">
        <v>10</v>
      </c>
      <c r="E1255" s="1">
        <v>14</v>
      </c>
      <c r="F1255" s="1">
        <v>18</v>
      </c>
      <c r="G1255" s="1">
        <v>12</v>
      </c>
      <c r="H1255" s="1">
        <v>10</v>
      </c>
      <c r="I1255" s="1">
        <v>13</v>
      </c>
      <c r="J1255" s="1">
        <v>13</v>
      </c>
      <c r="K1255" s="1">
        <v>6</v>
      </c>
      <c r="L1255" s="1">
        <v>17</v>
      </c>
      <c r="M1255" s="1">
        <v>6</v>
      </c>
      <c r="N1255" s="1">
        <v>10</v>
      </c>
      <c r="O1255" s="1">
        <v>2</v>
      </c>
      <c r="P1255" s="1">
        <v>0</v>
      </c>
      <c r="Q1255" s="1">
        <v>0</v>
      </c>
      <c r="R1255" s="1">
        <v>0</v>
      </c>
      <c r="S1255" s="1">
        <v>0</v>
      </c>
      <c r="T1255" s="1">
        <v>0</v>
      </c>
      <c r="U1255" s="1">
        <v>0</v>
      </c>
      <c r="V1255" s="1">
        <v>0</v>
      </c>
    </row>
    <row r="1256" spans="1:22" x14ac:dyDescent="0.2">
      <c r="A1256" s="1" t="s">
        <v>1146</v>
      </c>
      <c r="B1256" s="1" t="s">
        <v>1262</v>
      </c>
      <c r="C1256" s="1">
        <v>0</v>
      </c>
      <c r="D1256" s="1">
        <v>0</v>
      </c>
      <c r="E1256" s="1">
        <v>0</v>
      </c>
      <c r="F1256" s="1">
        <v>0</v>
      </c>
      <c r="G1256" s="1">
        <v>0</v>
      </c>
      <c r="H1256" s="1">
        <v>0</v>
      </c>
      <c r="I1256" s="1">
        <v>0</v>
      </c>
      <c r="J1256" s="1">
        <v>0</v>
      </c>
      <c r="K1256" s="1">
        <v>0</v>
      </c>
      <c r="L1256" s="1">
        <v>0</v>
      </c>
      <c r="M1256" s="1">
        <v>0</v>
      </c>
      <c r="N1256" s="1">
        <v>0</v>
      </c>
      <c r="O1256" s="1">
        <v>0</v>
      </c>
      <c r="P1256" s="1">
        <v>0</v>
      </c>
      <c r="Q1256" s="1">
        <v>9</v>
      </c>
      <c r="R1256" s="1">
        <v>19</v>
      </c>
      <c r="S1256" s="1">
        <v>28</v>
      </c>
      <c r="T1256" s="1">
        <v>21</v>
      </c>
      <c r="U1256" s="1">
        <v>34</v>
      </c>
      <c r="V1256" s="1">
        <v>68</v>
      </c>
    </row>
    <row r="1257" spans="1:22" x14ac:dyDescent="0.2">
      <c r="A1257" s="1" t="s">
        <v>1146</v>
      </c>
      <c r="B1257" s="1" t="s">
        <v>1263</v>
      </c>
      <c r="C1257" s="1">
        <v>0</v>
      </c>
      <c r="D1257" s="1">
        <v>0</v>
      </c>
      <c r="E1257" s="1">
        <v>0</v>
      </c>
      <c r="F1257" s="1">
        <v>0</v>
      </c>
      <c r="G1257" s="1">
        <v>0</v>
      </c>
      <c r="H1257" s="1">
        <v>0</v>
      </c>
      <c r="I1257" s="1">
        <v>0</v>
      </c>
      <c r="J1257" s="1">
        <v>0</v>
      </c>
      <c r="K1257" s="1">
        <v>0</v>
      </c>
      <c r="L1257" s="1">
        <v>0</v>
      </c>
      <c r="M1257" s="1">
        <v>0</v>
      </c>
      <c r="N1257" s="1">
        <v>0</v>
      </c>
      <c r="O1257" s="1">
        <v>0</v>
      </c>
      <c r="P1257" s="1">
        <v>0</v>
      </c>
      <c r="Q1257" s="1">
        <v>0</v>
      </c>
      <c r="R1257" s="1">
        <v>23</v>
      </c>
      <c r="S1257" s="1">
        <v>32</v>
      </c>
      <c r="T1257" s="1">
        <v>67</v>
      </c>
      <c r="U1257" s="1">
        <v>93</v>
      </c>
      <c r="V1257" s="1">
        <v>143</v>
      </c>
    </row>
    <row r="1258" spans="1:22" x14ac:dyDescent="0.2">
      <c r="A1258" s="1" t="s">
        <v>1146</v>
      </c>
      <c r="B1258" s="1" t="s">
        <v>1264</v>
      </c>
      <c r="C1258" s="1">
        <v>937</v>
      </c>
      <c r="D1258" s="1">
        <v>893</v>
      </c>
      <c r="E1258" s="1">
        <v>978</v>
      </c>
      <c r="F1258" s="1">
        <v>980</v>
      </c>
      <c r="G1258" s="1">
        <v>888</v>
      </c>
      <c r="H1258" s="1">
        <v>837</v>
      </c>
      <c r="I1258" s="1">
        <v>876</v>
      </c>
      <c r="J1258" s="1">
        <v>924</v>
      </c>
      <c r="K1258" s="1">
        <v>995</v>
      </c>
      <c r="L1258" s="1">
        <v>1111</v>
      </c>
      <c r="M1258" s="1">
        <v>1069</v>
      </c>
      <c r="N1258" s="1">
        <v>946</v>
      </c>
      <c r="O1258" s="1">
        <v>861</v>
      </c>
      <c r="P1258" s="1">
        <v>943</v>
      </c>
      <c r="Q1258" s="1">
        <v>904</v>
      </c>
      <c r="R1258" s="1">
        <v>989</v>
      </c>
      <c r="S1258" s="1">
        <v>956</v>
      </c>
      <c r="T1258" s="1">
        <v>960</v>
      </c>
      <c r="U1258" s="1">
        <v>945</v>
      </c>
      <c r="V1258" s="1">
        <v>970</v>
      </c>
    </row>
    <row r="1259" spans="1:22" x14ac:dyDescent="0.2">
      <c r="A1259" s="1" t="s">
        <v>1146</v>
      </c>
      <c r="B1259" s="1" t="s">
        <v>1265</v>
      </c>
      <c r="C1259" s="1">
        <v>11</v>
      </c>
      <c r="D1259" s="1">
        <v>2</v>
      </c>
      <c r="E1259" s="1">
        <v>8</v>
      </c>
      <c r="F1259" s="1">
        <v>3</v>
      </c>
      <c r="G1259" s="1">
        <v>1</v>
      </c>
      <c r="H1259" s="1">
        <v>0</v>
      </c>
      <c r="I1259" s="1">
        <v>1</v>
      </c>
      <c r="J1259" s="1">
        <v>3</v>
      </c>
      <c r="K1259" s="1">
        <v>4</v>
      </c>
      <c r="L1259" s="1">
        <v>4</v>
      </c>
      <c r="M1259" s="1">
        <v>3</v>
      </c>
      <c r="N1259" s="1">
        <v>1</v>
      </c>
      <c r="O1259" s="1">
        <v>2</v>
      </c>
      <c r="P1259" s="1">
        <v>0</v>
      </c>
      <c r="Q1259" s="1">
        <v>1</v>
      </c>
      <c r="R1259" s="1">
        <v>1</v>
      </c>
      <c r="S1259" s="1">
        <v>0</v>
      </c>
      <c r="T1259" s="1">
        <v>0</v>
      </c>
      <c r="U1259" s="1">
        <v>0</v>
      </c>
      <c r="V1259" s="1">
        <v>0</v>
      </c>
    </row>
    <row r="1260" spans="1:22" x14ac:dyDescent="0.2">
      <c r="A1260" s="1" t="s">
        <v>1146</v>
      </c>
      <c r="B1260" s="1" t="s">
        <v>1266</v>
      </c>
      <c r="C1260" s="1">
        <f>SUM(C1261:C1301)</f>
        <v>48723</v>
      </c>
      <c r="D1260" s="1">
        <f>SUM(D1261:D1301)</f>
        <v>52598</v>
      </c>
      <c r="E1260" s="1">
        <f>SUM(E1261:E1301)</f>
        <v>52851</v>
      </c>
      <c r="F1260" s="1">
        <f>SUM(F1261:F1301)</f>
        <v>60628</v>
      </c>
      <c r="G1260" s="1">
        <f t="shared" ref="G1260:R1260" si="243">SUM(G1261:G1301)</f>
        <v>61633</v>
      </c>
      <c r="H1260" s="1">
        <f t="shared" si="243"/>
        <v>64154</v>
      </c>
      <c r="I1260" s="1">
        <f t="shared" si="243"/>
        <v>65057</v>
      </c>
      <c r="J1260" s="1">
        <f t="shared" si="243"/>
        <v>66060</v>
      </c>
      <c r="K1260" s="1">
        <f t="shared" si="243"/>
        <v>68124</v>
      </c>
      <c r="L1260" s="1">
        <f t="shared" si="243"/>
        <v>80911</v>
      </c>
      <c r="M1260" s="1">
        <f t="shared" si="243"/>
        <v>83276</v>
      </c>
      <c r="N1260" s="1">
        <f t="shared" si="243"/>
        <v>81402</v>
      </c>
      <c r="O1260" s="1">
        <f t="shared" si="243"/>
        <v>60251</v>
      </c>
      <c r="P1260" s="1">
        <f t="shared" si="243"/>
        <v>74986</v>
      </c>
      <c r="Q1260" s="1">
        <f t="shared" si="243"/>
        <v>84702</v>
      </c>
      <c r="R1260" s="1">
        <f t="shared" si="243"/>
        <v>74621</v>
      </c>
      <c r="S1260" s="1">
        <f>SUM(S1261:S1301)</f>
        <v>69709</v>
      </c>
      <c r="T1260" s="1">
        <f>SUM(T1261:T1301)</f>
        <v>69843</v>
      </c>
      <c r="U1260" s="1">
        <f>SUM(U1261:U1301)</f>
        <v>77901</v>
      </c>
      <c r="V1260" s="1">
        <f>SUM(V1261:V1301)</f>
        <v>93118</v>
      </c>
    </row>
    <row r="1261" spans="1:22" x14ac:dyDescent="0.2">
      <c r="A1261" s="1" t="s">
        <v>1146</v>
      </c>
      <c r="B1261" s="1" t="s">
        <v>1267</v>
      </c>
      <c r="C1261" s="1">
        <v>0</v>
      </c>
      <c r="D1261" s="1">
        <v>0</v>
      </c>
      <c r="E1261" s="1">
        <v>0</v>
      </c>
      <c r="F1261" s="1">
        <v>334</v>
      </c>
      <c r="G1261" s="1">
        <v>459</v>
      </c>
      <c r="H1261" s="1">
        <v>492</v>
      </c>
      <c r="I1261" s="1">
        <v>528</v>
      </c>
      <c r="J1261" s="1">
        <v>513</v>
      </c>
      <c r="K1261" s="1">
        <v>111</v>
      </c>
      <c r="L1261" s="1">
        <v>109</v>
      </c>
      <c r="M1261" s="1">
        <v>42</v>
      </c>
      <c r="N1261" s="1">
        <v>11</v>
      </c>
      <c r="O1261" s="1">
        <v>0</v>
      </c>
      <c r="P1261" s="1">
        <v>0</v>
      </c>
      <c r="Q1261" s="1">
        <v>0</v>
      </c>
      <c r="R1261" s="1">
        <v>0</v>
      </c>
      <c r="S1261" s="1">
        <v>0</v>
      </c>
      <c r="T1261" s="1">
        <v>0</v>
      </c>
      <c r="U1261" s="1">
        <v>0</v>
      </c>
      <c r="V1261" s="1">
        <v>9</v>
      </c>
    </row>
    <row r="1262" spans="1:22" x14ac:dyDescent="0.2">
      <c r="A1262" s="1" t="s">
        <v>1146</v>
      </c>
      <c r="B1262" s="1" t="s">
        <v>1268</v>
      </c>
      <c r="C1262" s="1">
        <v>269</v>
      </c>
      <c r="D1262" s="1">
        <v>322</v>
      </c>
      <c r="E1262" s="1">
        <v>332</v>
      </c>
      <c r="F1262" s="1">
        <v>326</v>
      </c>
      <c r="G1262" s="1">
        <v>399</v>
      </c>
      <c r="H1262" s="1">
        <v>381</v>
      </c>
      <c r="I1262" s="1">
        <v>293</v>
      </c>
      <c r="J1262" s="1">
        <v>332</v>
      </c>
      <c r="K1262" s="1">
        <v>375</v>
      </c>
      <c r="L1262" s="1">
        <v>494</v>
      </c>
      <c r="M1262" s="1">
        <v>423</v>
      </c>
      <c r="N1262" s="1">
        <v>410</v>
      </c>
      <c r="O1262" s="1">
        <v>414</v>
      </c>
      <c r="P1262" s="1">
        <v>439</v>
      </c>
      <c r="Q1262" s="1">
        <v>423</v>
      </c>
      <c r="R1262" s="1">
        <v>439</v>
      </c>
      <c r="S1262" s="1">
        <v>481</v>
      </c>
      <c r="T1262" s="1">
        <v>466</v>
      </c>
      <c r="U1262" s="1">
        <v>399</v>
      </c>
      <c r="V1262" s="1">
        <v>399</v>
      </c>
    </row>
    <row r="1263" spans="1:22" x14ac:dyDescent="0.2">
      <c r="A1263" s="1" t="s">
        <v>1146</v>
      </c>
      <c r="B1263" s="1" t="s">
        <v>1269</v>
      </c>
      <c r="C1263" s="1">
        <v>0</v>
      </c>
      <c r="D1263" s="1">
        <v>0</v>
      </c>
      <c r="E1263" s="1">
        <v>0</v>
      </c>
      <c r="F1263" s="1">
        <v>0</v>
      </c>
      <c r="G1263" s="1">
        <v>7</v>
      </c>
      <c r="H1263" s="1">
        <v>15</v>
      </c>
      <c r="I1263" s="1">
        <v>34</v>
      </c>
      <c r="J1263" s="1">
        <v>10</v>
      </c>
      <c r="K1263" s="1">
        <v>13</v>
      </c>
      <c r="L1263" s="1">
        <v>26</v>
      </c>
      <c r="M1263" s="1">
        <v>30</v>
      </c>
      <c r="N1263" s="1">
        <v>5</v>
      </c>
      <c r="O1263" s="1">
        <v>7</v>
      </c>
      <c r="P1263" s="1">
        <v>0</v>
      </c>
      <c r="Q1263" s="1">
        <v>2</v>
      </c>
      <c r="R1263" s="1">
        <v>0</v>
      </c>
      <c r="S1263" s="1">
        <v>4</v>
      </c>
      <c r="T1263" s="1">
        <v>0</v>
      </c>
      <c r="U1263" s="1">
        <v>0</v>
      </c>
      <c r="V1263" s="1">
        <v>16</v>
      </c>
    </row>
    <row r="1264" spans="1:22" x14ac:dyDescent="0.2">
      <c r="A1264" s="1" t="s">
        <v>1146</v>
      </c>
      <c r="B1264" s="1" t="s">
        <v>1270</v>
      </c>
      <c r="C1264" s="1">
        <v>65</v>
      </c>
      <c r="D1264" s="1">
        <v>84</v>
      </c>
      <c r="E1264" s="1">
        <v>121</v>
      </c>
      <c r="F1264" s="1">
        <v>85</v>
      </c>
      <c r="G1264" s="1">
        <v>187</v>
      </c>
      <c r="H1264" s="1">
        <v>241</v>
      </c>
      <c r="I1264" s="1">
        <v>119</v>
      </c>
      <c r="J1264" s="1">
        <v>90</v>
      </c>
      <c r="K1264" s="1">
        <v>78</v>
      </c>
      <c r="L1264" s="1">
        <v>64</v>
      </c>
      <c r="M1264" s="1">
        <v>102</v>
      </c>
      <c r="N1264" s="1">
        <v>79</v>
      </c>
      <c r="O1264" s="1">
        <v>101</v>
      </c>
      <c r="P1264" s="1">
        <v>170</v>
      </c>
      <c r="Q1264" s="1">
        <v>200</v>
      </c>
      <c r="R1264" s="1">
        <v>323</v>
      </c>
      <c r="S1264" s="1">
        <v>511</v>
      </c>
      <c r="T1264" s="1">
        <v>432</v>
      </c>
      <c r="U1264" s="1">
        <v>491</v>
      </c>
      <c r="V1264" s="1">
        <v>264</v>
      </c>
    </row>
    <row r="1265" spans="1:22" x14ac:dyDescent="0.2">
      <c r="A1265" s="1" t="s">
        <v>1146</v>
      </c>
      <c r="B1265" s="1" t="s">
        <v>1271</v>
      </c>
      <c r="C1265" s="1">
        <v>4526</v>
      </c>
      <c r="D1265" s="1">
        <v>3226</v>
      </c>
      <c r="E1265" s="1">
        <v>2823</v>
      </c>
      <c r="F1265" s="1">
        <v>3928</v>
      </c>
      <c r="G1265" s="1">
        <v>5062</v>
      </c>
      <c r="H1265" s="1">
        <v>5352</v>
      </c>
      <c r="I1265" s="1">
        <v>4886</v>
      </c>
      <c r="J1265" s="1">
        <v>5195</v>
      </c>
      <c r="K1265" s="1">
        <v>5142</v>
      </c>
      <c r="L1265" s="1">
        <v>6018</v>
      </c>
      <c r="M1265" s="1">
        <v>7408</v>
      </c>
      <c r="N1265" s="1">
        <v>8662</v>
      </c>
      <c r="O1265" s="1">
        <v>10738</v>
      </c>
      <c r="P1265" s="1">
        <v>9024</v>
      </c>
      <c r="Q1265" s="1">
        <v>8398</v>
      </c>
      <c r="R1265" s="1">
        <v>5665</v>
      </c>
      <c r="S1265" s="1">
        <v>6393</v>
      </c>
      <c r="T1265" s="1">
        <v>7002</v>
      </c>
      <c r="U1265" s="1">
        <v>4959</v>
      </c>
      <c r="V1265" s="1">
        <v>4948</v>
      </c>
    </row>
    <row r="1266" spans="1:22" x14ac:dyDescent="0.2">
      <c r="A1266" s="1" t="s">
        <v>1146</v>
      </c>
      <c r="B1266" s="1" t="s">
        <v>1272</v>
      </c>
      <c r="C1266" s="1">
        <v>0</v>
      </c>
      <c r="D1266" s="1">
        <v>0</v>
      </c>
      <c r="E1266" s="1">
        <v>0</v>
      </c>
      <c r="F1266" s="1">
        <v>0</v>
      </c>
      <c r="G1266" s="1">
        <v>0</v>
      </c>
      <c r="H1266" s="1">
        <v>0</v>
      </c>
      <c r="I1266" s="1">
        <v>0</v>
      </c>
      <c r="J1266" s="1">
        <v>0</v>
      </c>
      <c r="K1266" s="1">
        <v>0</v>
      </c>
      <c r="L1266" s="1">
        <v>0</v>
      </c>
      <c r="M1266" s="1">
        <v>120</v>
      </c>
      <c r="N1266" s="1">
        <v>106</v>
      </c>
      <c r="O1266" s="1">
        <v>117</v>
      </c>
      <c r="P1266" s="1">
        <v>208</v>
      </c>
      <c r="Q1266" s="1">
        <v>199</v>
      </c>
      <c r="R1266" s="1">
        <v>154</v>
      </c>
      <c r="S1266" s="1">
        <v>141</v>
      </c>
      <c r="T1266" s="1">
        <v>162</v>
      </c>
      <c r="U1266" s="1">
        <v>181</v>
      </c>
      <c r="V1266" s="1">
        <v>176</v>
      </c>
    </row>
    <row r="1267" spans="1:22" x14ac:dyDescent="0.2">
      <c r="A1267" s="1" t="s">
        <v>1146</v>
      </c>
      <c r="B1267" s="1" t="s">
        <v>1273</v>
      </c>
      <c r="C1267" s="1">
        <v>1654</v>
      </c>
      <c r="D1267" s="1">
        <v>1872</v>
      </c>
      <c r="E1267" s="1">
        <v>1951</v>
      </c>
      <c r="F1267" s="1">
        <v>2158</v>
      </c>
      <c r="G1267" s="1">
        <v>2069</v>
      </c>
      <c r="H1267" s="1">
        <v>2332</v>
      </c>
      <c r="I1267" s="1">
        <v>2048</v>
      </c>
      <c r="J1267" s="1">
        <v>2053</v>
      </c>
      <c r="K1267" s="1">
        <v>2514</v>
      </c>
      <c r="L1267" s="1">
        <v>4625</v>
      </c>
      <c r="M1267" s="1">
        <v>5723</v>
      </c>
      <c r="N1267" s="1">
        <v>5403</v>
      </c>
      <c r="O1267" s="1">
        <v>4641</v>
      </c>
      <c r="P1267" s="1">
        <v>5004</v>
      </c>
      <c r="Q1267" s="1">
        <v>5078</v>
      </c>
      <c r="R1267" s="1">
        <v>4910</v>
      </c>
      <c r="S1267" s="1">
        <v>4894</v>
      </c>
      <c r="T1267" s="1">
        <v>4975</v>
      </c>
      <c r="U1267" s="1">
        <v>5352</v>
      </c>
      <c r="V1267" s="1">
        <v>5637</v>
      </c>
    </row>
    <row r="1268" spans="1:22" x14ac:dyDescent="0.2">
      <c r="A1268" s="1" t="s">
        <v>1146</v>
      </c>
      <c r="B1268" s="1" t="s">
        <v>1274</v>
      </c>
      <c r="C1268" s="1">
        <v>0</v>
      </c>
      <c r="D1268" s="1">
        <v>0</v>
      </c>
      <c r="E1268" s="1">
        <v>1</v>
      </c>
      <c r="F1268" s="1">
        <v>0</v>
      </c>
      <c r="G1268" s="1">
        <v>0</v>
      </c>
      <c r="H1268" s="1">
        <v>5</v>
      </c>
      <c r="I1268" s="1">
        <v>0</v>
      </c>
      <c r="J1268" s="1">
        <v>0</v>
      </c>
      <c r="K1268" s="1">
        <v>0</v>
      </c>
      <c r="L1268" s="1">
        <v>0</v>
      </c>
      <c r="M1268" s="1">
        <v>0</v>
      </c>
      <c r="N1268" s="1">
        <v>0</v>
      </c>
      <c r="O1268" s="1">
        <v>0</v>
      </c>
      <c r="P1268" s="1">
        <v>0</v>
      </c>
      <c r="Q1268" s="1">
        <v>0</v>
      </c>
      <c r="R1268" s="1">
        <v>0</v>
      </c>
      <c r="S1268" s="1">
        <v>0</v>
      </c>
      <c r="T1268" s="1">
        <v>0</v>
      </c>
      <c r="U1268" s="1">
        <v>0</v>
      </c>
      <c r="V1268" s="1">
        <v>0</v>
      </c>
    </row>
    <row r="1269" spans="1:22" x14ac:dyDescent="0.2">
      <c r="A1269" s="1" t="s">
        <v>1146</v>
      </c>
      <c r="B1269" s="1" t="s">
        <v>1275</v>
      </c>
      <c r="C1269" s="1">
        <v>0</v>
      </c>
      <c r="D1269" s="1">
        <v>0</v>
      </c>
      <c r="E1269" s="1">
        <v>0</v>
      </c>
      <c r="F1269" s="1">
        <v>0</v>
      </c>
      <c r="G1269" s="1">
        <v>0</v>
      </c>
      <c r="H1269" s="1">
        <v>0</v>
      </c>
      <c r="I1269" s="1">
        <v>0</v>
      </c>
      <c r="J1269" s="1">
        <v>0</v>
      </c>
      <c r="K1269" s="1">
        <v>0</v>
      </c>
      <c r="L1269" s="1">
        <v>0</v>
      </c>
      <c r="M1269" s="1">
        <v>0</v>
      </c>
      <c r="N1269" s="1">
        <v>0</v>
      </c>
      <c r="O1269" s="1">
        <v>0</v>
      </c>
      <c r="P1269" s="1">
        <v>0</v>
      </c>
      <c r="Q1269" s="1">
        <v>1</v>
      </c>
      <c r="R1269" s="1">
        <v>0</v>
      </c>
      <c r="S1269" s="1">
        <v>0</v>
      </c>
      <c r="T1269" s="1">
        <v>0</v>
      </c>
      <c r="U1269" s="1">
        <v>0</v>
      </c>
      <c r="V1269" s="1">
        <v>2</v>
      </c>
    </row>
    <row r="1270" spans="1:22" x14ac:dyDescent="0.2">
      <c r="A1270" s="1" t="s">
        <v>1146</v>
      </c>
      <c r="B1270" s="1" t="s">
        <v>1276</v>
      </c>
      <c r="C1270" s="1">
        <v>0</v>
      </c>
      <c r="D1270" s="1">
        <v>0</v>
      </c>
      <c r="E1270" s="1">
        <v>0</v>
      </c>
      <c r="F1270" s="1">
        <v>0</v>
      </c>
      <c r="G1270" s="1">
        <v>0</v>
      </c>
      <c r="H1270" s="1">
        <v>0</v>
      </c>
      <c r="I1270" s="1">
        <v>0</v>
      </c>
      <c r="J1270" s="1">
        <v>0</v>
      </c>
      <c r="K1270" s="1">
        <v>0</v>
      </c>
      <c r="L1270" s="1">
        <v>0</v>
      </c>
      <c r="M1270" s="1">
        <v>0</v>
      </c>
      <c r="N1270" s="1">
        <v>0</v>
      </c>
      <c r="O1270" s="1">
        <v>0</v>
      </c>
      <c r="P1270" s="1">
        <v>0</v>
      </c>
      <c r="Q1270" s="1">
        <v>0</v>
      </c>
      <c r="R1270" s="1">
        <v>0</v>
      </c>
      <c r="S1270" s="1">
        <v>0</v>
      </c>
      <c r="T1270" s="1">
        <v>1</v>
      </c>
      <c r="U1270" s="1">
        <v>15</v>
      </c>
      <c r="V1270" s="1">
        <v>16</v>
      </c>
    </row>
    <row r="1271" spans="1:22" x14ac:dyDescent="0.2">
      <c r="A1271" s="1" t="s">
        <v>1146</v>
      </c>
      <c r="B1271" s="1" t="s">
        <v>1277</v>
      </c>
      <c r="C1271" s="1">
        <v>3090</v>
      </c>
      <c r="D1271" s="1">
        <v>3169</v>
      </c>
      <c r="E1271" s="1">
        <v>3612</v>
      </c>
      <c r="F1271" s="1">
        <v>3533</v>
      </c>
      <c r="G1271" s="1">
        <v>3902</v>
      </c>
      <c r="H1271" s="1">
        <v>3792</v>
      </c>
      <c r="I1271" s="1">
        <v>2773</v>
      </c>
      <c r="J1271" s="1">
        <v>2817</v>
      </c>
      <c r="K1271" s="1">
        <v>2800</v>
      </c>
      <c r="L1271" s="1">
        <v>3669</v>
      </c>
      <c r="M1271" s="1">
        <v>3602</v>
      </c>
      <c r="N1271" s="1">
        <v>3329</v>
      </c>
      <c r="O1271" s="1">
        <v>2468</v>
      </c>
      <c r="P1271" s="1">
        <v>3239</v>
      </c>
      <c r="Q1271" s="1">
        <v>4216</v>
      </c>
      <c r="R1271" s="1">
        <v>4434</v>
      </c>
      <c r="S1271" s="1">
        <v>4383</v>
      </c>
      <c r="T1271" s="1">
        <v>4603</v>
      </c>
      <c r="U1271" s="1">
        <v>5596</v>
      </c>
      <c r="V1271" s="1">
        <v>8643</v>
      </c>
    </row>
    <row r="1272" spans="1:22" x14ac:dyDescent="0.2">
      <c r="A1272" s="1" t="s">
        <v>1146</v>
      </c>
      <c r="B1272" s="1" t="s">
        <v>1278</v>
      </c>
      <c r="C1272" s="1">
        <v>179</v>
      </c>
      <c r="D1272" s="1">
        <v>125</v>
      </c>
      <c r="E1272" s="1">
        <v>110</v>
      </c>
      <c r="F1272" s="1">
        <v>141</v>
      </c>
      <c r="G1272" s="1">
        <v>131</v>
      </c>
      <c r="H1272" s="1">
        <v>131</v>
      </c>
      <c r="I1272" s="1">
        <v>143</v>
      </c>
      <c r="J1272" s="1">
        <v>109</v>
      </c>
      <c r="K1272" s="1">
        <v>60</v>
      </c>
      <c r="L1272" s="1">
        <v>19</v>
      </c>
      <c r="M1272" s="1">
        <v>18</v>
      </c>
      <c r="N1272" s="1">
        <v>21</v>
      </c>
      <c r="O1272" s="1">
        <v>20</v>
      </c>
      <c r="P1272" s="1">
        <v>14</v>
      </c>
      <c r="Q1272" s="1">
        <v>11</v>
      </c>
      <c r="R1272" s="1">
        <v>13</v>
      </c>
      <c r="S1272" s="1">
        <v>8</v>
      </c>
      <c r="T1272" s="1">
        <v>0</v>
      </c>
      <c r="U1272" s="1">
        <v>0</v>
      </c>
      <c r="V1272" s="1">
        <v>0</v>
      </c>
    </row>
    <row r="1273" spans="1:22" x14ac:dyDescent="0.2">
      <c r="A1273" s="1" t="s">
        <v>1146</v>
      </c>
      <c r="B1273" s="1" t="s">
        <v>1279</v>
      </c>
      <c r="C1273" s="1">
        <v>0</v>
      </c>
      <c r="D1273" s="1">
        <v>0</v>
      </c>
      <c r="E1273" s="1">
        <v>0</v>
      </c>
      <c r="F1273" s="1">
        <v>0</v>
      </c>
      <c r="G1273" s="1">
        <v>0</v>
      </c>
      <c r="H1273" s="1">
        <v>0</v>
      </c>
      <c r="I1273" s="1">
        <v>0</v>
      </c>
      <c r="J1273" s="1">
        <v>0</v>
      </c>
      <c r="K1273" s="1">
        <v>0</v>
      </c>
      <c r="L1273" s="1">
        <v>0</v>
      </c>
      <c r="M1273" s="1">
        <v>5</v>
      </c>
      <c r="N1273" s="1">
        <v>8</v>
      </c>
      <c r="O1273" s="1">
        <v>4</v>
      </c>
      <c r="P1273" s="1">
        <v>4</v>
      </c>
      <c r="Q1273" s="1">
        <v>2</v>
      </c>
      <c r="R1273" s="1">
        <v>4</v>
      </c>
      <c r="S1273" s="1">
        <v>2</v>
      </c>
      <c r="T1273" s="1">
        <v>7</v>
      </c>
      <c r="U1273" s="1">
        <v>6</v>
      </c>
      <c r="V1273" s="1">
        <v>5</v>
      </c>
    </row>
    <row r="1274" spans="1:22" x14ac:dyDescent="0.2">
      <c r="A1274" s="1" t="s">
        <v>1146</v>
      </c>
      <c r="B1274" s="1" t="s">
        <v>1280</v>
      </c>
      <c r="C1274" s="1">
        <v>0</v>
      </c>
      <c r="D1274" s="1">
        <v>0</v>
      </c>
      <c r="E1274" s="1">
        <v>0</v>
      </c>
      <c r="F1274" s="1">
        <v>0</v>
      </c>
      <c r="G1274" s="1">
        <v>0</v>
      </c>
      <c r="H1274" s="1">
        <v>0</v>
      </c>
      <c r="I1274" s="1">
        <v>0</v>
      </c>
      <c r="J1274" s="1">
        <v>0</v>
      </c>
      <c r="K1274" s="1">
        <v>0</v>
      </c>
      <c r="L1274" s="1">
        <v>0</v>
      </c>
      <c r="M1274" s="1">
        <v>0</v>
      </c>
      <c r="N1274" s="1">
        <v>0</v>
      </c>
      <c r="O1274" s="1">
        <v>0</v>
      </c>
      <c r="P1274" s="1">
        <v>0</v>
      </c>
      <c r="Q1274" s="1">
        <v>4</v>
      </c>
      <c r="R1274" s="1">
        <v>0</v>
      </c>
      <c r="S1274" s="1">
        <v>0</v>
      </c>
      <c r="T1274" s="1">
        <v>285</v>
      </c>
      <c r="U1274" s="1">
        <v>2149</v>
      </c>
      <c r="V1274" s="1">
        <v>3306</v>
      </c>
    </row>
    <row r="1275" spans="1:22" x14ac:dyDescent="0.2">
      <c r="A1275" s="1" t="s">
        <v>1146</v>
      </c>
      <c r="B1275" s="1" t="s">
        <v>1281</v>
      </c>
      <c r="C1275" s="1">
        <v>477</v>
      </c>
      <c r="D1275" s="1">
        <v>332</v>
      </c>
      <c r="E1275" s="1">
        <v>218</v>
      </c>
      <c r="F1275" s="1">
        <v>238</v>
      </c>
      <c r="G1275" s="1">
        <v>249</v>
      </c>
      <c r="H1275" s="1">
        <v>236</v>
      </c>
      <c r="I1275" s="1">
        <v>166</v>
      </c>
      <c r="J1275" s="1">
        <v>123</v>
      </c>
      <c r="K1275" s="1">
        <v>153</v>
      </c>
      <c r="L1275" s="1">
        <v>167</v>
      </c>
      <c r="M1275" s="1">
        <v>136</v>
      </c>
      <c r="N1275" s="1">
        <v>122</v>
      </c>
      <c r="O1275" s="1">
        <v>74</v>
      </c>
      <c r="P1275" s="1">
        <v>54</v>
      </c>
      <c r="Q1275" s="1">
        <v>83</v>
      </c>
      <c r="R1275" s="1">
        <v>65</v>
      </c>
      <c r="S1275" s="1">
        <v>47</v>
      </c>
      <c r="T1275" s="1">
        <v>42</v>
      </c>
      <c r="U1275" s="1">
        <v>52</v>
      </c>
      <c r="V1275" s="1">
        <v>37</v>
      </c>
    </row>
    <row r="1276" spans="1:22" x14ac:dyDescent="0.2">
      <c r="A1276" s="1" t="s">
        <v>1146</v>
      </c>
      <c r="B1276" s="1" t="s">
        <v>1282</v>
      </c>
      <c r="C1276" s="1">
        <v>303</v>
      </c>
      <c r="D1276" s="1">
        <v>322</v>
      </c>
      <c r="E1276" s="1">
        <v>286</v>
      </c>
      <c r="F1276" s="1">
        <v>283</v>
      </c>
      <c r="G1276" s="1">
        <v>342</v>
      </c>
      <c r="H1276" s="1">
        <v>299</v>
      </c>
      <c r="I1276" s="1">
        <v>251</v>
      </c>
      <c r="J1276" s="1">
        <v>220</v>
      </c>
      <c r="K1276" s="1">
        <v>252</v>
      </c>
      <c r="L1276" s="1">
        <v>249</v>
      </c>
      <c r="M1276" s="1">
        <v>230</v>
      </c>
      <c r="N1276" s="1">
        <v>204</v>
      </c>
      <c r="O1276" s="1">
        <v>212</v>
      </c>
      <c r="P1276" s="1">
        <v>199</v>
      </c>
      <c r="Q1276" s="1">
        <v>220</v>
      </c>
      <c r="R1276" s="1">
        <v>193</v>
      </c>
      <c r="S1276" s="1">
        <v>181</v>
      </c>
      <c r="T1276" s="1">
        <v>171</v>
      </c>
      <c r="U1276" s="1">
        <v>167</v>
      </c>
      <c r="V1276" s="1">
        <v>192</v>
      </c>
    </row>
    <row r="1277" spans="1:22" x14ac:dyDescent="0.2">
      <c r="A1277" s="1" t="s">
        <v>1146</v>
      </c>
      <c r="B1277" s="1" t="s">
        <v>1283</v>
      </c>
      <c r="C1277" s="1">
        <v>62</v>
      </c>
      <c r="D1277" s="1">
        <v>95</v>
      </c>
      <c r="E1277" s="1">
        <v>142</v>
      </c>
      <c r="F1277" s="1">
        <v>155</v>
      </c>
      <c r="G1277" s="1">
        <v>161</v>
      </c>
      <c r="H1277" s="1">
        <v>119</v>
      </c>
      <c r="I1277" s="1">
        <v>139</v>
      </c>
      <c r="J1277" s="1">
        <v>166</v>
      </c>
      <c r="K1277" s="1">
        <v>378</v>
      </c>
      <c r="L1277" s="1">
        <v>264</v>
      </c>
      <c r="M1277" s="1">
        <v>273</v>
      </c>
      <c r="N1277" s="1">
        <v>243</v>
      </c>
      <c r="O1277" s="1">
        <v>237</v>
      </c>
      <c r="P1277" s="1">
        <v>295</v>
      </c>
      <c r="Q1277" s="1">
        <v>269</v>
      </c>
      <c r="R1277" s="1">
        <v>304</v>
      </c>
      <c r="S1277" s="1">
        <v>529</v>
      </c>
      <c r="T1277" s="1">
        <v>449</v>
      </c>
      <c r="U1277" s="1">
        <v>485</v>
      </c>
      <c r="V1277" s="1">
        <v>667</v>
      </c>
    </row>
    <row r="1278" spans="1:22" x14ac:dyDescent="0.2">
      <c r="A1278" s="1" t="s">
        <v>1146</v>
      </c>
      <c r="B1278" s="1" t="s">
        <v>1284</v>
      </c>
      <c r="C1278" s="1">
        <v>0</v>
      </c>
      <c r="D1278" s="1">
        <v>3</v>
      </c>
      <c r="E1278" s="1">
        <v>1</v>
      </c>
      <c r="F1278" s="1">
        <v>5</v>
      </c>
      <c r="G1278" s="1">
        <v>0</v>
      </c>
      <c r="H1278" s="1">
        <v>2</v>
      </c>
      <c r="I1278" s="1">
        <v>3</v>
      </c>
      <c r="J1278" s="1">
        <v>2</v>
      </c>
      <c r="K1278" s="1">
        <v>8</v>
      </c>
      <c r="L1278" s="1">
        <v>2</v>
      </c>
      <c r="M1278" s="1">
        <v>1</v>
      </c>
      <c r="N1278" s="1">
        <v>2</v>
      </c>
      <c r="O1278" s="1">
        <v>3</v>
      </c>
      <c r="P1278" s="1">
        <v>2</v>
      </c>
      <c r="Q1278" s="1">
        <v>2</v>
      </c>
      <c r="R1278" s="1">
        <v>0</v>
      </c>
      <c r="S1278" s="1">
        <v>0</v>
      </c>
      <c r="T1278" s="1">
        <v>0</v>
      </c>
      <c r="U1278" s="1">
        <v>0</v>
      </c>
      <c r="V1278" s="1">
        <v>0</v>
      </c>
    </row>
    <row r="1279" spans="1:22" x14ac:dyDescent="0.2">
      <c r="A1279" s="1" t="s">
        <v>1146</v>
      </c>
      <c r="B1279" s="1" t="s">
        <v>1285</v>
      </c>
      <c r="C1279" s="1">
        <v>151</v>
      </c>
      <c r="D1279" s="1">
        <v>190</v>
      </c>
      <c r="E1279" s="1">
        <v>226</v>
      </c>
      <c r="F1279" s="1">
        <v>188</v>
      </c>
      <c r="G1279" s="1">
        <v>200</v>
      </c>
      <c r="H1279" s="1">
        <v>224</v>
      </c>
      <c r="I1279" s="1">
        <v>160</v>
      </c>
      <c r="J1279" s="1">
        <v>192</v>
      </c>
      <c r="K1279" s="1">
        <v>187</v>
      </c>
      <c r="L1279" s="1">
        <v>155</v>
      </c>
      <c r="M1279" s="1">
        <v>141</v>
      </c>
      <c r="N1279" s="1">
        <v>172</v>
      </c>
      <c r="O1279" s="1">
        <v>161</v>
      </c>
      <c r="P1279" s="1">
        <v>122</v>
      </c>
      <c r="Q1279" s="1">
        <v>118</v>
      </c>
      <c r="R1279" s="1">
        <v>126</v>
      </c>
      <c r="S1279" s="1">
        <v>114</v>
      </c>
      <c r="T1279" s="1">
        <v>166</v>
      </c>
      <c r="U1279" s="1">
        <v>176</v>
      </c>
      <c r="V1279" s="1">
        <v>188</v>
      </c>
    </row>
    <row r="1280" spans="1:22" x14ac:dyDescent="0.2">
      <c r="A1280" s="1" t="s">
        <v>1146</v>
      </c>
      <c r="B1280" s="1" t="s">
        <v>1286</v>
      </c>
      <c r="C1280" s="1">
        <v>5</v>
      </c>
      <c r="D1280" s="1">
        <v>1</v>
      </c>
      <c r="E1280" s="1">
        <v>6</v>
      </c>
      <c r="F1280" s="1">
        <v>5</v>
      </c>
      <c r="G1280" s="1">
        <v>2</v>
      </c>
      <c r="H1280" s="1">
        <v>4</v>
      </c>
      <c r="I1280" s="1">
        <v>5</v>
      </c>
      <c r="J1280" s="1">
        <v>0</v>
      </c>
      <c r="K1280" s="1">
        <v>16</v>
      </c>
      <c r="L1280" s="1">
        <v>8</v>
      </c>
      <c r="M1280" s="1">
        <v>3</v>
      </c>
      <c r="N1280" s="1">
        <v>6</v>
      </c>
      <c r="O1280" s="1">
        <v>3</v>
      </c>
      <c r="P1280" s="1">
        <v>3</v>
      </c>
      <c r="Q1280" s="1">
        <v>4</v>
      </c>
      <c r="R1280" s="1">
        <v>1</v>
      </c>
      <c r="S1280" s="1">
        <v>1</v>
      </c>
      <c r="T1280" s="1">
        <v>2</v>
      </c>
      <c r="U1280" s="1">
        <v>6</v>
      </c>
      <c r="V1280" s="1">
        <v>5</v>
      </c>
    </row>
    <row r="1281" spans="1:22" x14ac:dyDescent="0.2">
      <c r="A1281" s="1" t="s">
        <v>1146</v>
      </c>
      <c r="B1281" s="1" t="s">
        <v>1287</v>
      </c>
      <c r="C1281" s="1">
        <v>0</v>
      </c>
      <c r="D1281" s="1">
        <v>0</v>
      </c>
      <c r="E1281" s="1">
        <v>0</v>
      </c>
      <c r="F1281" s="1">
        <v>23</v>
      </c>
      <c r="G1281" s="1">
        <v>62</v>
      </c>
      <c r="H1281" s="1">
        <v>180</v>
      </c>
      <c r="I1281" s="1">
        <v>354</v>
      </c>
      <c r="J1281" s="1">
        <v>672</v>
      </c>
      <c r="K1281" s="1">
        <v>371</v>
      </c>
      <c r="L1281" s="1">
        <v>470</v>
      </c>
      <c r="M1281" s="1">
        <v>232</v>
      </c>
      <c r="N1281" s="1">
        <v>451</v>
      </c>
      <c r="O1281" s="1">
        <v>228</v>
      </c>
      <c r="P1281" s="1">
        <v>885</v>
      </c>
      <c r="Q1281" s="1">
        <v>882</v>
      </c>
      <c r="R1281" s="1">
        <v>824</v>
      </c>
      <c r="S1281" s="1">
        <v>1513</v>
      </c>
      <c r="T1281" s="1">
        <v>1969</v>
      </c>
      <c r="U1281" s="1">
        <v>5</v>
      </c>
      <c r="V1281" s="1">
        <v>6</v>
      </c>
    </row>
    <row r="1282" spans="1:22" x14ac:dyDescent="0.2">
      <c r="A1282" s="1" t="s">
        <v>1146</v>
      </c>
      <c r="B1282" s="1" t="s">
        <v>1288</v>
      </c>
      <c r="C1282" s="1">
        <v>10301</v>
      </c>
      <c r="D1282" s="1">
        <v>11403</v>
      </c>
      <c r="E1282" s="1">
        <v>11154</v>
      </c>
      <c r="F1282" s="1">
        <v>10730</v>
      </c>
      <c r="G1282" s="1">
        <v>10418</v>
      </c>
      <c r="H1282" s="1">
        <v>10336</v>
      </c>
      <c r="I1282" s="1">
        <v>10289</v>
      </c>
      <c r="J1282" s="1">
        <v>12136</v>
      </c>
      <c r="K1282" s="1">
        <v>13640</v>
      </c>
      <c r="L1282" s="1">
        <v>17419</v>
      </c>
      <c r="M1282" s="1">
        <v>15656</v>
      </c>
      <c r="N1282" s="1">
        <v>14719</v>
      </c>
      <c r="O1282" s="1">
        <v>11783</v>
      </c>
      <c r="P1282" s="1">
        <v>18209</v>
      </c>
      <c r="Q1282" s="1">
        <v>23108</v>
      </c>
      <c r="R1282" s="1">
        <v>19756</v>
      </c>
      <c r="S1282" s="1">
        <v>17139</v>
      </c>
      <c r="T1282" s="1">
        <v>15649</v>
      </c>
      <c r="U1282" s="1">
        <v>18412</v>
      </c>
      <c r="V1282" s="1">
        <v>22859</v>
      </c>
    </row>
    <row r="1283" spans="1:22" x14ac:dyDescent="0.2">
      <c r="A1283" s="1" t="s">
        <v>1146</v>
      </c>
      <c r="B1283" s="1" t="s">
        <v>1289</v>
      </c>
      <c r="C1283" s="1">
        <v>1</v>
      </c>
      <c r="D1283" s="1">
        <v>0</v>
      </c>
      <c r="E1283" s="1">
        <v>1</v>
      </c>
      <c r="F1283" s="1">
        <v>0</v>
      </c>
      <c r="G1283" s="1">
        <v>2</v>
      </c>
      <c r="H1283" s="1">
        <v>0</v>
      </c>
      <c r="I1283" s="1">
        <v>2</v>
      </c>
      <c r="J1283" s="1">
        <v>6</v>
      </c>
      <c r="K1283" s="1">
        <v>1</v>
      </c>
      <c r="L1283" s="1">
        <v>51</v>
      </c>
      <c r="M1283" s="1">
        <v>0</v>
      </c>
      <c r="N1283" s="1">
        <v>0</v>
      </c>
      <c r="O1283" s="1">
        <v>0</v>
      </c>
      <c r="P1283" s="1">
        <v>0</v>
      </c>
      <c r="Q1283" s="1">
        <v>0</v>
      </c>
      <c r="R1283" s="1">
        <v>0</v>
      </c>
      <c r="S1283" s="1">
        <v>0</v>
      </c>
      <c r="T1283" s="1">
        <v>0</v>
      </c>
      <c r="U1283" s="1">
        <v>0</v>
      </c>
      <c r="V1283" s="1">
        <v>0</v>
      </c>
    </row>
    <row r="1284" spans="1:22" x14ac:dyDescent="0.2">
      <c r="A1284" s="1" t="s">
        <v>1146</v>
      </c>
      <c r="B1284" s="1" t="s">
        <v>1290</v>
      </c>
      <c r="C1284" s="1">
        <v>54</v>
      </c>
      <c r="D1284" s="1">
        <v>174</v>
      </c>
      <c r="E1284" s="1">
        <v>108</v>
      </c>
      <c r="F1284" s="1">
        <v>402</v>
      </c>
      <c r="G1284" s="1">
        <v>67</v>
      </c>
      <c r="H1284" s="1">
        <v>79</v>
      </c>
      <c r="I1284" s="1">
        <v>83</v>
      </c>
      <c r="J1284" s="1">
        <v>64</v>
      </c>
      <c r="K1284" s="1">
        <v>78</v>
      </c>
      <c r="L1284" s="1">
        <v>126</v>
      </c>
      <c r="M1284" s="1">
        <v>91</v>
      </c>
      <c r="N1284" s="1">
        <v>119</v>
      </c>
      <c r="O1284" s="1">
        <v>94</v>
      </c>
      <c r="P1284" s="1">
        <v>53</v>
      </c>
      <c r="Q1284" s="1">
        <v>131</v>
      </c>
      <c r="R1284" s="1">
        <v>109</v>
      </c>
      <c r="S1284" s="1">
        <v>21</v>
      </c>
      <c r="T1284" s="1">
        <v>342</v>
      </c>
      <c r="U1284" s="1">
        <v>292</v>
      </c>
      <c r="V1284" s="1">
        <v>283</v>
      </c>
    </row>
    <row r="1285" spans="1:22" x14ac:dyDescent="0.2">
      <c r="A1285" s="1" t="s">
        <v>1146</v>
      </c>
      <c r="B1285" s="1" t="s">
        <v>1291</v>
      </c>
      <c r="C1285" s="1">
        <v>0</v>
      </c>
      <c r="D1285" s="1">
        <v>0</v>
      </c>
      <c r="E1285" s="1">
        <v>0</v>
      </c>
      <c r="F1285" s="1">
        <v>0</v>
      </c>
      <c r="G1285" s="1">
        <v>0</v>
      </c>
      <c r="H1285" s="1">
        <v>0</v>
      </c>
      <c r="I1285" s="1">
        <v>0</v>
      </c>
      <c r="J1285" s="1">
        <v>0</v>
      </c>
      <c r="K1285" s="1">
        <v>0</v>
      </c>
      <c r="L1285" s="1">
        <v>0</v>
      </c>
      <c r="M1285" s="1">
        <v>4553</v>
      </c>
      <c r="N1285" s="1">
        <v>5765</v>
      </c>
      <c r="O1285" s="1">
        <v>2804</v>
      </c>
      <c r="P1285" s="1">
        <v>3902</v>
      </c>
      <c r="Q1285" s="1">
        <v>3600</v>
      </c>
      <c r="R1285" s="1">
        <v>3604</v>
      </c>
      <c r="S1285" s="1">
        <v>3145</v>
      </c>
      <c r="T1285" s="1">
        <v>3217</v>
      </c>
      <c r="U1285" s="1">
        <v>3774</v>
      </c>
      <c r="V1285" s="1">
        <v>3395</v>
      </c>
    </row>
    <row r="1286" spans="1:22" x14ac:dyDescent="0.2">
      <c r="A1286" s="1" t="s">
        <v>1146</v>
      </c>
      <c r="B1286" s="1" t="s">
        <v>1292</v>
      </c>
      <c r="C1286" s="1">
        <v>0</v>
      </c>
      <c r="D1286" s="1">
        <v>0</v>
      </c>
      <c r="E1286" s="1">
        <v>0</v>
      </c>
      <c r="F1286" s="1">
        <v>0</v>
      </c>
      <c r="G1286" s="1">
        <v>0</v>
      </c>
      <c r="H1286" s="1">
        <v>0</v>
      </c>
      <c r="I1286" s="1">
        <v>0</v>
      </c>
      <c r="J1286" s="1">
        <v>0</v>
      </c>
      <c r="K1286" s="1">
        <v>0</v>
      </c>
      <c r="L1286" s="1">
        <v>0</v>
      </c>
      <c r="M1286" s="1">
        <v>1</v>
      </c>
      <c r="N1286" s="1">
        <v>0</v>
      </c>
      <c r="O1286" s="1">
        <v>1</v>
      </c>
      <c r="P1286" s="1">
        <v>1</v>
      </c>
      <c r="Q1286" s="1">
        <v>1</v>
      </c>
      <c r="R1286" s="1">
        <v>9</v>
      </c>
      <c r="S1286" s="1">
        <v>1</v>
      </c>
      <c r="T1286" s="1">
        <v>0</v>
      </c>
      <c r="U1286" s="1">
        <v>0</v>
      </c>
      <c r="V1286" s="1">
        <v>0</v>
      </c>
    </row>
    <row r="1287" spans="1:22" x14ac:dyDescent="0.2">
      <c r="A1287" s="1" t="s">
        <v>1146</v>
      </c>
      <c r="B1287" s="1" t="s">
        <v>1293</v>
      </c>
      <c r="C1287" s="1">
        <v>0</v>
      </c>
      <c r="D1287" s="1">
        <v>0</v>
      </c>
      <c r="E1287" s="1">
        <v>0</v>
      </c>
      <c r="F1287" s="1">
        <v>0</v>
      </c>
      <c r="G1287" s="1">
        <v>0</v>
      </c>
      <c r="H1287" s="1">
        <v>0</v>
      </c>
      <c r="I1287" s="1">
        <v>0</v>
      </c>
      <c r="J1287" s="1">
        <v>0</v>
      </c>
      <c r="K1287" s="1">
        <v>0</v>
      </c>
      <c r="L1287" s="1">
        <v>0</v>
      </c>
      <c r="M1287" s="1">
        <v>23</v>
      </c>
      <c r="N1287" s="1">
        <v>45</v>
      </c>
      <c r="O1287" s="1">
        <v>26</v>
      </c>
      <c r="P1287" s="1">
        <v>20</v>
      </c>
      <c r="Q1287" s="1">
        <v>11</v>
      </c>
      <c r="R1287" s="1">
        <v>0</v>
      </c>
      <c r="S1287" s="1">
        <v>11</v>
      </c>
      <c r="T1287" s="1">
        <v>1</v>
      </c>
      <c r="U1287" s="1">
        <v>38</v>
      </c>
      <c r="V1287" s="1">
        <v>36</v>
      </c>
    </row>
    <row r="1288" spans="1:22" x14ac:dyDescent="0.2">
      <c r="A1288" s="1" t="s">
        <v>1146</v>
      </c>
      <c r="B1288" s="1" t="s">
        <v>1294</v>
      </c>
      <c r="C1288" s="1">
        <v>0</v>
      </c>
      <c r="D1288" s="1">
        <v>0</v>
      </c>
      <c r="E1288" s="1">
        <v>0</v>
      </c>
      <c r="F1288" s="1">
        <v>0</v>
      </c>
      <c r="G1288" s="1">
        <v>0</v>
      </c>
      <c r="H1288" s="1">
        <v>0</v>
      </c>
      <c r="I1288" s="1">
        <v>0</v>
      </c>
      <c r="J1288" s="1">
        <v>0</v>
      </c>
      <c r="K1288" s="1">
        <v>0</v>
      </c>
      <c r="L1288" s="1">
        <v>0</v>
      </c>
      <c r="M1288" s="1">
        <v>4</v>
      </c>
      <c r="N1288" s="1">
        <v>2</v>
      </c>
      <c r="O1288" s="1">
        <v>1</v>
      </c>
      <c r="P1288" s="1">
        <v>3</v>
      </c>
      <c r="Q1288" s="1">
        <v>4</v>
      </c>
      <c r="R1288" s="1">
        <v>3</v>
      </c>
      <c r="S1288" s="1">
        <v>6</v>
      </c>
      <c r="T1288" s="1">
        <v>14</v>
      </c>
      <c r="U1288" s="1">
        <v>7</v>
      </c>
      <c r="V1288" s="1">
        <v>7</v>
      </c>
    </row>
    <row r="1289" spans="1:22" x14ac:dyDescent="0.2">
      <c r="A1289" s="1" t="s">
        <v>1146</v>
      </c>
      <c r="B1289" s="1" t="s">
        <v>1295</v>
      </c>
      <c r="C1289" s="1">
        <v>57</v>
      </c>
      <c r="D1289" s="1">
        <v>0</v>
      </c>
      <c r="E1289" s="1">
        <v>0</v>
      </c>
      <c r="F1289" s="1">
        <v>41</v>
      </c>
      <c r="G1289" s="1">
        <v>40</v>
      </c>
      <c r="H1289" s="1">
        <v>37</v>
      </c>
      <c r="I1289" s="1">
        <v>37</v>
      </c>
      <c r="J1289" s="1">
        <v>38</v>
      </c>
      <c r="K1289" s="1">
        <v>45</v>
      </c>
      <c r="L1289" s="1">
        <v>75</v>
      </c>
      <c r="M1289" s="1">
        <v>34</v>
      </c>
      <c r="N1289" s="1">
        <v>26</v>
      </c>
      <c r="O1289" s="1">
        <v>50</v>
      </c>
      <c r="P1289" s="1">
        <v>11</v>
      </c>
      <c r="Q1289" s="1">
        <v>23</v>
      </c>
      <c r="R1289" s="1">
        <v>24</v>
      </c>
      <c r="S1289" s="1">
        <v>38</v>
      </c>
      <c r="T1289" s="1">
        <v>46</v>
      </c>
      <c r="U1289" s="1">
        <v>44</v>
      </c>
      <c r="V1289" s="1">
        <v>32</v>
      </c>
    </row>
    <row r="1290" spans="1:22" x14ac:dyDescent="0.2">
      <c r="A1290" s="1" t="s">
        <v>1146</v>
      </c>
      <c r="B1290" s="1" t="s">
        <v>1296</v>
      </c>
      <c r="C1290" s="1">
        <v>0</v>
      </c>
      <c r="D1290" s="1">
        <v>0</v>
      </c>
      <c r="E1290" s="1">
        <v>0</v>
      </c>
      <c r="F1290" s="1">
        <v>0</v>
      </c>
      <c r="G1290" s="1">
        <v>0</v>
      </c>
      <c r="H1290" s="1">
        <v>0</v>
      </c>
      <c r="I1290" s="1">
        <v>0</v>
      </c>
      <c r="J1290" s="1">
        <v>0</v>
      </c>
      <c r="K1290" s="1">
        <v>0</v>
      </c>
      <c r="L1290" s="1">
        <v>0</v>
      </c>
      <c r="M1290" s="1">
        <v>23911</v>
      </c>
      <c r="N1290" s="1">
        <v>23286</v>
      </c>
      <c r="O1290" s="1">
        <v>12823</v>
      </c>
      <c r="P1290" s="1">
        <v>16428</v>
      </c>
      <c r="Q1290" s="1">
        <v>18775</v>
      </c>
      <c r="R1290" s="1">
        <v>17439</v>
      </c>
      <c r="S1290" s="1">
        <v>14473</v>
      </c>
      <c r="T1290" s="1">
        <v>14763</v>
      </c>
      <c r="U1290" s="1">
        <v>18990</v>
      </c>
      <c r="V1290" s="1">
        <v>23591</v>
      </c>
    </row>
    <row r="1291" spans="1:22" x14ac:dyDescent="0.2">
      <c r="A1291" s="1" t="s">
        <v>1146</v>
      </c>
      <c r="B1291" s="1" t="s">
        <v>1297</v>
      </c>
      <c r="C1291" s="1">
        <v>0</v>
      </c>
      <c r="D1291" s="1">
        <v>0</v>
      </c>
      <c r="E1291" s="1">
        <v>0</v>
      </c>
      <c r="F1291" s="1">
        <v>0</v>
      </c>
      <c r="G1291" s="1">
        <v>0</v>
      </c>
      <c r="H1291" s="1">
        <v>0</v>
      </c>
      <c r="I1291" s="1">
        <v>0</v>
      </c>
      <c r="J1291" s="1">
        <v>0</v>
      </c>
      <c r="K1291" s="1">
        <v>0</v>
      </c>
      <c r="L1291" s="1">
        <v>0</v>
      </c>
      <c r="M1291" s="1">
        <v>5</v>
      </c>
      <c r="N1291" s="1">
        <v>0</v>
      </c>
      <c r="O1291" s="1">
        <v>30</v>
      </c>
      <c r="P1291" s="1">
        <v>4</v>
      </c>
      <c r="Q1291" s="1">
        <v>2</v>
      </c>
      <c r="R1291" s="1">
        <v>0</v>
      </c>
      <c r="S1291" s="1">
        <v>0</v>
      </c>
      <c r="T1291" s="1">
        <v>0</v>
      </c>
      <c r="U1291" s="1">
        <v>0</v>
      </c>
      <c r="V1291" s="1">
        <v>0</v>
      </c>
    </row>
    <row r="1292" spans="1:22" x14ac:dyDescent="0.2">
      <c r="A1292" s="1" t="s">
        <v>1146</v>
      </c>
      <c r="B1292" s="1" t="s">
        <v>1298</v>
      </c>
      <c r="C1292" s="1">
        <v>0</v>
      </c>
      <c r="D1292" s="1">
        <v>0</v>
      </c>
      <c r="E1292" s="1">
        <v>0</v>
      </c>
      <c r="F1292" s="1">
        <v>0</v>
      </c>
      <c r="G1292" s="1">
        <v>0</v>
      </c>
      <c r="H1292" s="1">
        <v>0</v>
      </c>
      <c r="I1292" s="1">
        <v>0</v>
      </c>
      <c r="J1292" s="1">
        <v>0</v>
      </c>
      <c r="K1292" s="1">
        <v>0</v>
      </c>
      <c r="L1292" s="1">
        <v>0</v>
      </c>
      <c r="M1292" s="1">
        <v>482</v>
      </c>
      <c r="N1292" s="1">
        <v>518</v>
      </c>
      <c r="O1292" s="1">
        <v>441</v>
      </c>
      <c r="P1292" s="1">
        <v>497</v>
      </c>
      <c r="Q1292" s="1">
        <v>482</v>
      </c>
      <c r="R1292" s="1">
        <v>405</v>
      </c>
      <c r="S1292" s="1">
        <v>443</v>
      </c>
      <c r="T1292" s="1">
        <v>402</v>
      </c>
      <c r="U1292" s="1">
        <v>432</v>
      </c>
      <c r="V1292" s="1">
        <v>470</v>
      </c>
    </row>
    <row r="1293" spans="1:22" x14ac:dyDescent="0.2">
      <c r="A1293" s="1" t="s">
        <v>1146</v>
      </c>
      <c r="B1293" s="1" t="s">
        <v>1299</v>
      </c>
      <c r="C1293" s="1">
        <v>25799</v>
      </c>
      <c r="D1293" s="1">
        <v>29348</v>
      </c>
      <c r="E1293" s="1">
        <v>29388</v>
      </c>
      <c r="F1293" s="1">
        <v>35987</v>
      </c>
      <c r="G1293" s="1">
        <v>36010</v>
      </c>
      <c r="H1293" s="1">
        <v>37769</v>
      </c>
      <c r="I1293" s="1">
        <v>40948</v>
      </c>
      <c r="J1293" s="1">
        <v>39688</v>
      </c>
      <c r="K1293" s="1">
        <v>39917</v>
      </c>
      <c r="L1293" s="1">
        <v>44764</v>
      </c>
      <c r="M1293" s="1">
        <v>18523</v>
      </c>
      <c r="N1293" s="1">
        <v>16435</v>
      </c>
      <c r="O1293" s="1">
        <v>11554</v>
      </c>
      <c r="P1293" s="1">
        <v>14963</v>
      </c>
      <c r="Q1293" s="1">
        <v>17367</v>
      </c>
      <c r="R1293" s="1">
        <v>14680</v>
      </c>
      <c r="S1293" s="1">
        <v>13958</v>
      </c>
      <c r="T1293" s="1">
        <v>13361</v>
      </c>
      <c r="U1293" s="1">
        <v>14499</v>
      </c>
      <c r="V1293" s="1">
        <v>16334</v>
      </c>
    </row>
    <row r="1294" spans="1:22" x14ac:dyDescent="0.2">
      <c r="A1294" s="1" t="s">
        <v>1146</v>
      </c>
      <c r="B1294" s="1" t="s">
        <v>1300</v>
      </c>
      <c r="C1294" s="1">
        <v>17</v>
      </c>
      <c r="D1294" s="1">
        <v>6</v>
      </c>
      <c r="E1294" s="1">
        <v>3</v>
      </c>
      <c r="F1294" s="1">
        <v>3</v>
      </c>
      <c r="G1294" s="1">
        <v>8</v>
      </c>
      <c r="H1294" s="1">
        <v>133</v>
      </c>
      <c r="I1294" s="1">
        <v>8</v>
      </c>
      <c r="J1294" s="1">
        <v>4</v>
      </c>
      <c r="K1294" s="1">
        <v>4</v>
      </c>
      <c r="L1294" s="1">
        <v>4</v>
      </c>
      <c r="M1294" s="1">
        <v>33</v>
      </c>
      <c r="N1294" s="1">
        <v>10</v>
      </c>
      <c r="O1294" s="1">
        <v>3</v>
      </c>
      <c r="P1294" s="1">
        <v>8</v>
      </c>
      <c r="Q1294" s="1">
        <v>9</v>
      </c>
      <c r="R1294" s="1">
        <v>8</v>
      </c>
      <c r="S1294" s="1">
        <v>0</v>
      </c>
      <c r="T1294" s="1">
        <v>0</v>
      </c>
      <c r="U1294" s="1">
        <v>0</v>
      </c>
      <c r="V1294" s="1">
        <v>0</v>
      </c>
    </row>
    <row r="1295" spans="1:22" x14ac:dyDescent="0.2">
      <c r="A1295" s="1" t="s">
        <v>1146</v>
      </c>
      <c r="B1295" s="1" t="s">
        <v>1301</v>
      </c>
      <c r="C1295" s="1">
        <v>408</v>
      </c>
      <c r="D1295" s="1">
        <v>670</v>
      </c>
      <c r="E1295" s="1">
        <v>1064</v>
      </c>
      <c r="F1295" s="1">
        <v>713</v>
      </c>
      <c r="G1295" s="1">
        <v>672</v>
      </c>
      <c r="H1295" s="1">
        <v>736</v>
      </c>
      <c r="I1295" s="1">
        <v>629</v>
      </c>
      <c r="J1295" s="1">
        <v>600</v>
      </c>
      <c r="K1295" s="1">
        <v>786</v>
      </c>
      <c r="L1295" s="1">
        <v>777</v>
      </c>
      <c r="M1295" s="1">
        <v>231</v>
      </c>
      <c r="N1295" s="1">
        <v>178</v>
      </c>
      <c r="O1295" s="1">
        <v>215</v>
      </c>
      <c r="P1295" s="1">
        <v>139</v>
      </c>
      <c r="Q1295" s="1">
        <v>136</v>
      </c>
      <c r="R1295" s="1">
        <v>105</v>
      </c>
      <c r="S1295" s="1">
        <v>60</v>
      </c>
      <c r="T1295" s="1">
        <v>9</v>
      </c>
      <c r="U1295" s="1">
        <v>32</v>
      </c>
      <c r="V1295" s="1">
        <v>3</v>
      </c>
    </row>
    <row r="1296" spans="1:22" x14ac:dyDescent="0.2">
      <c r="A1296" s="1" t="s">
        <v>1146</v>
      </c>
      <c r="B1296" s="1" t="s">
        <v>1302</v>
      </c>
      <c r="C1296" s="1">
        <v>25</v>
      </c>
      <c r="D1296" s="1">
        <v>25</v>
      </c>
      <c r="E1296" s="1">
        <v>22</v>
      </c>
      <c r="F1296" s="1">
        <v>5</v>
      </c>
      <c r="G1296" s="1">
        <v>8</v>
      </c>
      <c r="H1296" s="1">
        <v>11</v>
      </c>
      <c r="I1296" s="1">
        <v>6</v>
      </c>
      <c r="J1296" s="1">
        <v>8</v>
      </c>
      <c r="K1296" s="1">
        <v>8</v>
      </c>
      <c r="L1296" s="1">
        <v>5</v>
      </c>
      <c r="M1296" s="1">
        <v>11</v>
      </c>
      <c r="N1296" s="1">
        <v>12</v>
      </c>
      <c r="O1296" s="1">
        <v>5</v>
      </c>
      <c r="P1296" s="1">
        <v>4</v>
      </c>
      <c r="Q1296" s="1">
        <v>4</v>
      </c>
      <c r="R1296" s="1">
        <v>11</v>
      </c>
      <c r="S1296" s="1">
        <v>17</v>
      </c>
      <c r="T1296" s="1">
        <v>5</v>
      </c>
      <c r="U1296" s="1">
        <v>9</v>
      </c>
      <c r="V1296" s="1">
        <v>5</v>
      </c>
    </row>
    <row r="1297" spans="1:22" x14ac:dyDescent="0.2">
      <c r="A1297" s="1" t="s">
        <v>1146</v>
      </c>
      <c r="B1297" s="1" t="s">
        <v>1303</v>
      </c>
      <c r="C1297" s="1">
        <v>0</v>
      </c>
      <c r="D1297" s="1">
        <v>0</v>
      </c>
      <c r="E1297" s="1">
        <v>0</v>
      </c>
      <c r="F1297" s="1">
        <v>0</v>
      </c>
      <c r="G1297" s="1">
        <v>0</v>
      </c>
      <c r="H1297" s="1">
        <v>0</v>
      </c>
      <c r="I1297" s="1">
        <v>0</v>
      </c>
      <c r="J1297" s="1">
        <v>0</v>
      </c>
      <c r="K1297" s="1">
        <v>4</v>
      </c>
      <c r="L1297" s="1">
        <v>0</v>
      </c>
      <c r="M1297" s="1">
        <v>0</v>
      </c>
      <c r="N1297" s="1">
        <v>0</v>
      </c>
      <c r="O1297" s="1">
        <v>0</v>
      </c>
      <c r="P1297" s="1">
        <v>0</v>
      </c>
      <c r="Q1297" s="1">
        <v>0</v>
      </c>
      <c r="R1297" s="1">
        <v>0</v>
      </c>
      <c r="S1297" s="1">
        <v>0</v>
      </c>
      <c r="T1297" s="1">
        <v>0</v>
      </c>
      <c r="U1297" s="1">
        <v>0</v>
      </c>
      <c r="V1297" s="1">
        <v>0</v>
      </c>
    </row>
    <row r="1298" spans="1:22" x14ac:dyDescent="0.2">
      <c r="A1298" s="1" t="s">
        <v>1146</v>
      </c>
      <c r="B1298" s="1" t="s">
        <v>1304</v>
      </c>
      <c r="C1298" s="1">
        <v>0</v>
      </c>
      <c r="D1298" s="1">
        <v>0</v>
      </c>
      <c r="E1298" s="1">
        <v>0</v>
      </c>
      <c r="F1298" s="1">
        <v>0</v>
      </c>
      <c r="G1298" s="1">
        <v>0</v>
      </c>
      <c r="H1298" s="1">
        <v>0</v>
      </c>
      <c r="I1298" s="1">
        <v>0</v>
      </c>
      <c r="J1298" s="1">
        <v>0</v>
      </c>
      <c r="K1298" s="1">
        <v>0</v>
      </c>
      <c r="L1298" s="1">
        <v>0</v>
      </c>
      <c r="M1298" s="1">
        <v>0</v>
      </c>
      <c r="N1298" s="1">
        <v>0</v>
      </c>
      <c r="O1298" s="1">
        <v>0</v>
      </c>
      <c r="P1298" s="1">
        <v>0</v>
      </c>
      <c r="Q1298" s="1">
        <v>3</v>
      </c>
      <c r="R1298" s="1">
        <v>72</v>
      </c>
      <c r="S1298" s="1">
        <v>197</v>
      </c>
      <c r="T1298" s="1">
        <v>276</v>
      </c>
      <c r="U1298" s="1">
        <v>267</v>
      </c>
      <c r="V1298" s="1">
        <v>435</v>
      </c>
    </row>
    <row r="1299" spans="1:22" x14ac:dyDescent="0.2">
      <c r="A1299" s="1" t="s">
        <v>1146</v>
      </c>
      <c r="B1299" s="1" t="s">
        <v>1305</v>
      </c>
      <c r="C1299" s="1">
        <v>1097</v>
      </c>
      <c r="D1299" s="1">
        <v>1013</v>
      </c>
      <c r="E1299" s="1">
        <v>1089</v>
      </c>
      <c r="F1299" s="1">
        <v>1175</v>
      </c>
      <c r="G1299" s="1">
        <v>1062</v>
      </c>
      <c r="H1299" s="1">
        <v>1148</v>
      </c>
      <c r="I1299" s="1">
        <v>1064</v>
      </c>
      <c r="J1299" s="1">
        <v>967</v>
      </c>
      <c r="K1299" s="1">
        <v>1120</v>
      </c>
      <c r="L1299" s="1">
        <v>1259</v>
      </c>
      <c r="M1299" s="1">
        <v>1169</v>
      </c>
      <c r="N1299" s="1">
        <v>1007</v>
      </c>
      <c r="O1299" s="1">
        <v>949</v>
      </c>
      <c r="P1299" s="1">
        <v>1008</v>
      </c>
      <c r="Q1299" s="1">
        <v>872</v>
      </c>
      <c r="R1299" s="1">
        <v>843</v>
      </c>
      <c r="S1299" s="1">
        <v>930</v>
      </c>
      <c r="T1299" s="1">
        <v>945</v>
      </c>
      <c r="U1299" s="1">
        <v>963</v>
      </c>
      <c r="V1299" s="1">
        <v>1058</v>
      </c>
    </row>
    <row r="1300" spans="1:22" x14ac:dyDescent="0.2">
      <c r="A1300" s="1" t="s">
        <v>1146</v>
      </c>
      <c r="B1300" s="1" t="s">
        <v>1306</v>
      </c>
      <c r="C1300" s="1">
        <v>156</v>
      </c>
      <c r="D1300" s="1">
        <v>185</v>
      </c>
      <c r="E1300" s="1">
        <v>157</v>
      </c>
      <c r="F1300" s="1">
        <v>143</v>
      </c>
      <c r="G1300" s="1">
        <v>73</v>
      </c>
      <c r="H1300" s="1">
        <v>79</v>
      </c>
      <c r="I1300" s="1">
        <v>71</v>
      </c>
      <c r="J1300" s="1">
        <v>39</v>
      </c>
      <c r="K1300" s="1">
        <v>40</v>
      </c>
      <c r="L1300" s="1">
        <v>64</v>
      </c>
      <c r="M1300" s="1">
        <v>31</v>
      </c>
      <c r="N1300" s="1">
        <v>27</v>
      </c>
      <c r="O1300" s="1">
        <v>27</v>
      </c>
      <c r="P1300" s="1">
        <v>48</v>
      </c>
      <c r="Q1300" s="1">
        <v>36</v>
      </c>
      <c r="R1300" s="1">
        <v>91</v>
      </c>
      <c r="S1300" s="1">
        <v>32</v>
      </c>
      <c r="T1300" s="1">
        <v>56</v>
      </c>
      <c r="U1300" s="1">
        <v>63</v>
      </c>
      <c r="V1300" s="1">
        <v>54</v>
      </c>
    </row>
    <row r="1301" spans="1:22" x14ac:dyDescent="0.2">
      <c r="A1301" s="1" t="s">
        <v>1146</v>
      </c>
      <c r="B1301" s="1" t="s">
        <v>1307</v>
      </c>
      <c r="C1301" s="1">
        <v>27</v>
      </c>
      <c r="D1301" s="1">
        <v>33</v>
      </c>
      <c r="E1301" s="1">
        <v>36</v>
      </c>
      <c r="F1301" s="1">
        <v>27</v>
      </c>
      <c r="G1301" s="1">
        <v>41</v>
      </c>
      <c r="H1301" s="1">
        <v>21</v>
      </c>
      <c r="I1301" s="1">
        <v>18</v>
      </c>
      <c r="J1301" s="1">
        <v>16</v>
      </c>
      <c r="K1301" s="1">
        <v>23</v>
      </c>
      <c r="L1301" s="1">
        <v>28</v>
      </c>
      <c r="M1301" s="1">
        <v>29</v>
      </c>
      <c r="N1301" s="1">
        <v>19</v>
      </c>
      <c r="O1301" s="1">
        <v>17</v>
      </c>
      <c r="P1301" s="1">
        <v>26</v>
      </c>
      <c r="Q1301" s="1">
        <v>26</v>
      </c>
      <c r="R1301" s="1">
        <v>7</v>
      </c>
      <c r="S1301" s="1">
        <v>36</v>
      </c>
      <c r="T1301" s="1">
        <v>25</v>
      </c>
      <c r="U1301" s="1">
        <v>40</v>
      </c>
      <c r="V1301" s="1">
        <v>40</v>
      </c>
    </row>
    <row r="1302" spans="1:22" x14ac:dyDescent="0.2">
      <c r="A1302" s="1" t="s">
        <v>1146</v>
      </c>
      <c r="B1302" s="1" t="s">
        <v>1308</v>
      </c>
      <c r="C1302" s="1">
        <f>SUM(C1303:C1314)</f>
        <v>1329</v>
      </c>
      <c r="D1302" s="1">
        <f>SUM(D1303:D1314)</f>
        <v>1099</v>
      </c>
      <c r="E1302" s="1">
        <f>SUM(E1303:E1314)</f>
        <v>960</v>
      </c>
      <c r="F1302" s="1">
        <f>SUM(F1303:F1314)</f>
        <v>1045</v>
      </c>
      <c r="G1302" s="1">
        <f t="shared" ref="G1302:R1302" si="244">SUM(G1303:G1314)</f>
        <v>706</v>
      </c>
      <c r="H1302" s="1">
        <f t="shared" si="244"/>
        <v>517</v>
      </c>
      <c r="I1302" s="1">
        <f t="shared" si="244"/>
        <v>344</v>
      </c>
      <c r="J1302" s="1">
        <f t="shared" si="244"/>
        <v>344</v>
      </c>
      <c r="K1302" s="1">
        <f t="shared" si="244"/>
        <v>342</v>
      </c>
      <c r="L1302" s="1">
        <f t="shared" si="244"/>
        <v>477</v>
      </c>
      <c r="M1302" s="1">
        <f t="shared" si="244"/>
        <v>445</v>
      </c>
      <c r="N1302" s="1">
        <f t="shared" si="244"/>
        <v>342</v>
      </c>
      <c r="O1302" s="1">
        <f t="shared" si="244"/>
        <v>355</v>
      </c>
      <c r="P1302" s="1">
        <f t="shared" si="244"/>
        <v>250</v>
      </c>
      <c r="Q1302" s="1">
        <f>SUM(Q1303:Q1314)</f>
        <v>237</v>
      </c>
      <c r="R1302" s="1">
        <f t="shared" si="244"/>
        <v>204</v>
      </c>
      <c r="S1302" s="1">
        <f>SUM(S1303:S1314)</f>
        <v>199</v>
      </c>
      <c r="T1302" s="1">
        <f>SUM(T1303:T1314)</f>
        <v>157</v>
      </c>
      <c r="U1302" s="1">
        <f>SUM(U1303:U1314)</f>
        <v>147</v>
      </c>
      <c r="V1302" s="1">
        <f>SUM(V1303:V1314)</f>
        <v>163</v>
      </c>
    </row>
    <row r="1303" spans="1:22" x14ac:dyDescent="0.2">
      <c r="A1303" s="1" t="s">
        <v>1146</v>
      </c>
      <c r="B1303" s="1" t="s">
        <v>1309</v>
      </c>
      <c r="C1303" s="1">
        <v>13</v>
      </c>
      <c r="D1303" s="1">
        <v>27</v>
      </c>
      <c r="E1303" s="1">
        <v>19</v>
      </c>
      <c r="F1303" s="1">
        <v>96</v>
      </c>
      <c r="G1303" s="1">
        <v>8</v>
      </c>
      <c r="H1303" s="1">
        <v>58</v>
      </c>
      <c r="I1303" s="1">
        <v>3</v>
      </c>
      <c r="J1303" s="1">
        <v>8</v>
      </c>
      <c r="K1303" s="1">
        <v>3</v>
      </c>
      <c r="L1303" s="1">
        <v>1</v>
      </c>
      <c r="M1303" s="1">
        <v>1</v>
      </c>
      <c r="N1303" s="1">
        <v>1</v>
      </c>
      <c r="O1303" s="1">
        <v>2</v>
      </c>
      <c r="P1303" s="1">
        <v>6</v>
      </c>
      <c r="Q1303" s="1">
        <v>1</v>
      </c>
      <c r="R1303" s="1">
        <v>0</v>
      </c>
      <c r="S1303" s="1">
        <v>0</v>
      </c>
      <c r="T1303" s="1">
        <v>0</v>
      </c>
      <c r="U1303" s="1">
        <v>0</v>
      </c>
      <c r="V1303" s="1">
        <v>1</v>
      </c>
    </row>
    <row r="1304" spans="1:22" x14ac:dyDescent="0.2">
      <c r="A1304" s="1" t="s">
        <v>1146</v>
      </c>
      <c r="B1304" s="1" t="s">
        <v>1310</v>
      </c>
      <c r="C1304" s="1">
        <v>0</v>
      </c>
      <c r="D1304" s="1">
        <v>0</v>
      </c>
      <c r="E1304" s="1">
        <v>0</v>
      </c>
      <c r="F1304" s="1">
        <v>0</v>
      </c>
      <c r="G1304" s="1">
        <v>0</v>
      </c>
      <c r="H1304" s="1">
        <v>0</v>
      </c>
      <c r="I1304" s="1">
        <v>0</v>
      </c>
      <c r="J1304" s="1">
        <v>0</v>
      </c>
      <c r="K1304" s="1">
        <v>1</v>
      </c>
      <c r="L1304" s="1">
        <v>0</v>
      </c>
      <c r="M1304" s="1">
        <v>0</v>
      </c>
      <c r="N1304" s="1">
        <v>0</v>
      </c>
      <c r="O1304" s="1">
        <v>0</v>
      </c>
      <c r="P1304" s="1">
        <v>0</v>
      </c>
      <c r="Q1304" s="1">
        <v>0</v>
      </c>
      <c r="R1304" s="1">
        <v>1</v>
      </c>
      <c r="S1304" s="1">
        <v>1</v>
      </c>
      <c r="T1304" s="1">
        <v>0</v>
      </c>
      <c r="U1304" s="1">
        <v>0</v>
      </c>
      <c r="V1304" s="1">
        <v>3</v>
      </c>
    </row>
    <row r="1305" spans="1:22" x14ac:dyDescent="0.2">
      <c r="A1305" s="1" t="s">
        <v>1146</v>
      </c>
      <c r="B1305" s="1" t="s">
        <v>1311</v>
      </c>
      <c r="C1305" s="1">
        <v>2</v>
      </c>
      <c r="D1305" s="1">
        <v>0</v>
      </c>
      <c r="E1305" s="1">
        <v>0</v>
      </c>
      <c r="F1305" s="1">
        <v>0</v>
      </c>
      <c r="G1305" s="1">
        <v>0</v>
      </c>
      <c r="H1305" s="1">
        <v>0</v>
      </c>
      <c r="I1305" s="1">
        <v>0</v>
      </c>
      <c r="J1305" s="1">
        <v>0</v>
      </c>
      <c r="K1305" s="1">
        <v>0</v>
      </c>
      <c r="L1305" s="1">
        <v>1</v>
      </c>
      <c r="M1305" s="1">
        <v>0</v>
      </c>
      <c r="N1305" s="1">
        <v>0</v>
      </c>
      <c r="O1305" s="1">
        <v>0</v>
      </c>
      <c r="P1305" s="1">
        <v>0</v>
      </c>
      <c r="Q1305" s="1">
        <v>0</v>
      </c>
      <c r="R1305" s="1">
        <v>0</v>
      </c>
      <c r="S1305" s="1">
        <v>0</v>
      </c>
      <c r="T1305" s="1">
        <v>0</v>
      </c>
      <c r="U1305" s="1">
        <v>0</v>
      </c>
      <c r="V1305" s="1">
        <v>0</v>
      </c>
    </row>
    <row r="1306" spans="1:22" x14ac:dyDescent="0.2">
      <c r="A1306" s="1" t="s">
        <v>1146</v>
      </c>
      <c r="B1306" s="1" t="s">
        <v>1312</v>
      </c>
      <c r="C1306" s="1">
        <v>4</v>
      </c>
      <c r="D1306" s="1">
        <v>6</v>
      </c>
      <c r="E1306" s="1">
        <v>9</v>
      </c>
      <c r="F1306" s="1">
        <v>11</v>
      </c>
      <c r="G1306" s="1">
        <v>21</v>
      </c>
      <c r="H1306" s="1">
        <v>18</v>
      </c>
      <c r="I1306" s="1">
        <v>30</v>
      </c>
      <c r="J1306" s="1">
        <v>43</v>
      </c>
      <c r="K1306" s="1">
        <v>41</v>
      </c>
      <c r="L1306" s="1">
        <v>44</v>
      </c>
      <c r="M1306" s="1">
        <v>63</v>
      </c>
      <c r="N1306" s="1">
        <v>41</v>
      </c>
      <c r="O1306" s="1">
        <v>32</v>
      </c>
      <c r="P1306" s="1">
        <v>19</v>
      </c>
      <c r="Q1306" s="1">
        <v>34</v>
      </c>
      <c r="R1306" s="1">
        <v>23</v>
      </c>
      <c r="S1306" s="1">
        <v>22</v>
      </c>
      <c r="T1306" s="1">
        <v>29</v>
      </c>
      <c r="U1306" s="1">
        <v>18</v>
      </c>
      <c r="V1306" s="1">
        <v>25</v>
      </c>
    </row>
    <row r="1307" spans="1:22" x14ac:dyDescent="0.2">
      <c r="A1307" s="1" t="s">
        <v>1146</v>
      </c>
      <c r="B1307" s="1" t="s">
        <v>1313</v>
      </c>
      <c r="C1307" s="1">
        <v>0</v>
      </c>
      <c r="D1307" s="1">
        <v>0</v>
      </c>
      <c r="E1307" s="1">
        <v>0</v>
      </c>
      <c r="F1307" s="1">
        <v>0</v>
      </c>
      <c r="G1307" s="1">
        <v>0</v>
      </c>
      <c r="H1307" s="1">
        <v>0</v>
      </c>
      <c r="I1307" s="1">
        <v>0</v>
      </c>
      <c r="J1307" s="1">
        <v>0</v>
      </c>
      <c r="K1307" s="1">
        <v>0</v>
      </c>
      <c r="L1307" s="1">
        <v>2</v>
      </c>
      <c r="M1307" s="1">
        <v>1</v>
      </c>
      <c r="N1307" s="1">
        <v>0</v>
      </c>
      <c r="O1307" s="1">
        <v>1</v>
      </c>
      <c r="P1307" s="1">
        <v>2</v>
      </c>
      <c r="Q1307" s="1">
        <v>2</v>
      </c>
      <c r="R1307" s="1">
        <v>2</v>
      </c>
      <c r="S1307" s="1">
        <v>7</v>
      </c>
      <c r="T1307" s="1">
        <v>15</v>
      </c>
      <c r="U1307" s="1">
        <v>34</v>
      </c>
      <c r="V1307" s="1">
        <v>41</v>
      </c>
    </row>
    <row r="1308" spans="1:22" x14ac:dyDescent="0.2">
      <c r="A1308" s="1" t="s">
        <v>1146</v>
      </c>
      <c r="B1308" s="1" t="s">
        <v>1314</v>
      </c>
      <c r="C1308" s="1">
        <v>1284</v>
      </c>
      <c r="D1308" s="1">
        <v>1026</v>
      </c>
      <c r="E1308" s="1">
        <v>894</v>
      </c>
      <c r="F1308" s="1">
        <v>900</v>
      </c>
      <c r="G1308" s="1">
        <v>650</v>
      </c>
      <c r="H1308" s="1">
        <v>417</v>
      </c>
      <c r="I1308" s="1">
        <v>285</v>
      </c>
      <c r="J1308" s="1">
        <v>274</v>
      </c>
      <c r="K1308" s="1">
        <v>279</v>
      </c>
      <c r="L1308" s="1">
        <v>407</v>
      </c>
      <c r="M1308" s="1">
        <v>357</v>
      </c>
      <c r="N1308" s="1">
        <v>270</v>
      </c>
      <c r="O1308" s="1">
        <v>307</v>
      </c>
      <c r="P1308" s="1">
        <v>210</v>
      </c>
      <c r="Q1308" s="1">
        <v>172</v>
      </c>
      <c r="R1308" s="1">
        <v>162</v>
      </c>
      <c r="S1308" s="1">
        <v>0</v>
      </c>
      <c r="T1308" s="1">
        <v>4</v>
      </c>
      <c r="U1308" s="1">
        <v>0</v>
      </c>
      <c r="V1308" s="1">
        <v>0</v>
      </c>
    </row>
    <row r="1309" spans="1:22" x14ac:dyDescent="0.2">
      <c r="A1309" s="1" t="s">
        <v>1146</v>
      </c>
      <c r="B1309" s="1" t="s">
        <v>1315</v>
      </c>
      <c r="C1309" s="1">
        <v>0</v>
      </c>
      <c r="D1309" s="1">
        <v>0</v>
      </c>
      <c r="E1309" s="1">
        <v>0</v>
      </c>
      <c r="F1309" s="1">
        <v>0</v>
      </c>
      <c r="G1309" s="1">
        <v>0</v>
      </c>
      <c r="H1309" s="1">
        <v>0</v>
      </c>
      <c r="I1309" s="1">
        <v>0</v>
      </c>
      <c r="J1309" s="1">
        <v>2</v>
      </c>
      <c r="K1309" s="1">
        <v>0</v>
      </c>
      <c r="L1309" s="1">
        <v>0</v>
      </c>
      <c r="M1309" s="1">
        <v>0</v>
      </c>
      <c r="N1309" s="1">
        <v>2</v>
      </c>
      <c r="O1309" s="1">
        <v>0</v>
      </c>
      <c r="P1309" s="1">
        <v>0</v>
      </c>
      <c r="Q1309" s="1">
        <v>0</v>
      </c>
      <c r="R1309" s="1">
        <v>1</v>
      </c>
      <c r="S1309" s="1">
        <v>0</v>
      </c>
      <c r="T1309" s="1">
        <v>0</v>
      </c>
      <c r="U1309" s="1">
        <v>0</v>
      </c>
      <c r="V1309" s="1">
        <v>0</v>
      </c>
    </row>
    <row r="1310" spans="1:22" x14ac:dyDescent="0.2">
      <c r="A1310" s="1" t="s">
        <v>1146</v>
      </c>
      <c r="B1310" s="1" t="s">
        <v>1316</v>
      </c>
      <c r="C1310" s="1">
        <v>1</v>
      </c>
      <c r="D1310" s="1">
        <v>2</v>
      </c>
      <c r="E1310" s="1">
        <v>7</v>
      </c>
      <c r="F1310" s="1">
        <v>9</v>
      </c>
      <c r="G1310" s="1">
        <v>5</v>
      </c>
      <c r="H1310" s="1">
        <v>1</v>
      </c>
      <c r="I1310" s="1">
        <v>2</v>
      </c>
      <c r="J1310" s="1">
        <v>0</v>
      </c>
      <c r="K1310" s="1">
        <v>1</v>
      </c>
      <c r="L1310" s="1">
        <v>1</v>
      </c>
      <c r="M1310" s="1">
        <v>2</v>
      </c>
      <c r="N1310" s="1">
        <v>1</v>
      </c>
      <c r="O1310" s="1">
        <v>1</v>
      </c>
      <c r="P1310" s="1">
        <v>1</v>
      </c>
      <c r="Q1310" s="1">
        <v>3</v>
      </c>
      <c r="R1310" s="1">
        <v>0</v>
      </c>
      <c r="S1310" s="1">
        <v>1</v>
      </c>
      <c r="T1310" s="1">
        <v>2</v>
      </c>
      <c r="U1310" s="1">
        <v>3</v>
      </c>
      <c r="V1310" s="1">
        <v>1</v>
      </c>
    </row>
    <row r="1311" spans="1:22" x14ac:dyDescent="0.2">
      <c r="A1311" s="1" t="s">
        <v>1146</v>
      </c>
      <c r="B1311" s="1" t="s">
        <v>1317</v>
      </c>
      <c r="C1311" s="1">
        <v>0</v>
      </c>
      <c r="D1311" s="1">
        <v>0</v>
      </c>
      <c r="E1311" s="1">
        <v>0</v>
      </c>
      <c r="F1311" s="1">
        <v>0</v>
      </c>
      <c r="G1311" s="1">
        <v>0</v>
      </c>
      <c r="H1311" s="1">
        <v>0</v>
      </c>
      <c r="I1311" s="1">
        <v>0</v>
      </c>
      <c r="J1311" s="1">
        <v>5</v>
      </c>
      <c r="K1311" s="1">
        <v>0</v>
      </c>
      <c r="L1311" s="1">
        <v>0</v>
      </c>
      <c r="M1311" s="1">
        <v>3</v>
      </c>
      <c r="N1311" s="1">
        <v>0</v>
      </c>
      <c r="O1311" s="1">
        <v>0</v>
      </c>
      <c r="P1311" s="1">
        <v>0</v>
      </c>
      <c r="Q1311" s="1">
        <v>1</v>
      </c>
      <c r="R1311" s="1">
        <v>0</v>
      </c>
      <c r="S1311" s="1">
        <v>1</v>
      </c>
      <c r="T1311" s="1">
        <v>0</v>
      </c>
      <c r="U1311" s="1">
        <v>0</v>
      </c>
      <c r="V1311" s="1">
        <v>0</v>
      </c>
    </row>
    <row r="1312" spans="1:22" x14ac:dyDescent="0.2">
      <c r="A1312" s="1" t="s">
        <v>1146</v>
      </c>
      <c r="B1312" s="1" t="s">
        <v>1318</v>
      </c>
      <c r="C1312" s="1">
        <v>17</v>
      </c>
      <c r="D1312" s="1">
        <v>24</v>
      </c>
      <c r="E1312" s="1">
        <v>16</v>
      </c>
      <c r="F1312" s="1">
        <v>13</v>
      </c>
      <c r="G1312" s="1">
        <v>12</v>
      </c>
      <c r="H1312" s="1">
        <v>16</v>
      </c>
      <c r="I1312" s="1">
        <v>16</v>
      </c>
      <c r="J1312" s="1">
        <v>6</v>
      </c>
      <c r="K1312" s="1">
        <v>14</v>
      </c>
      <c r="L1312" s="1">
        <v>13</v>
      </c>
      <c r="M1312" s="1">
        <v>15</v>
      </c>
      <c r="N1312" s="1">
        <v>15</v>
      </c>
      <c r="O1312" s="1">
        <v>8</v>
      </c>
      <c r="P1312" s="1">
        <v>7</v>
      </c>
      <c r="Q1312" s="1">
        <v>19</v>
      </c>
      <c r="R1312" s="1">
        <v>6</v>
      </c>
      <c r="S1312" s="1">
        <v>10</v>
      </c>
      <c r="T1312" s="1">
        <v>9</v>
      </c>
      <c r="U1312" s="1">
        <v>22</v>
      </c>
      <c r="V1312" s="1">
        <v>22</v>
      </c>
    </row>
    <row r="1313" spans="1:22" x14ac:dyDescent="0.2">
      <c r="A1313" s="1" t="s">
        <v>1146</v>
      </c>
      <c r="B1313" s="1" t="s">
        <v>1319</v>
      </c>
      <c r="C1313" s="1">
        <v>2</v>
      </c>
      <c r="D1313" s="1">
        <v>1</v>
      </c>
      <c r="E1313" s="1">
        <v>3</v>
      </c>
      <c r="F1313" s="1">
        <v>1</v>
      </c>
      <c r="G1313" s="1">
        <v>0</v>
      </c>
      <c r="H1313" s="1">
        <v>0</v>
      </c>
      <c r="I1313" s="1">
        <v>0</v>
      </c>
      <c r="J1313" s="1">
        <v>0</v>
      </c>
      <c r="K1313" s="1">
        <v>0</v>
      </c>
      <c r="L1313" s="1">
        <v>2</v>
      </c>
      <c r="M1313" s="1">
        <v>0</v>
      </c>
      <c r="N1313" s="1">
        <v>7</v>
      </c>
      <c r="O1313" s="1">
        <v>2</v>
      </c>
      <c r="P1313" s="1">
        <v>1</v>
      </c>
      <c r="Q1313" s="1">
        <v>0</v>
      </c>
      <c r="R1313" s="1">
        <v>3</v>
      </c>
      <c r="S1313" s="1">
        <v>149</v>
      </c>
      <c r="T1313" s="1">
        <v>91</v>
      </c>
      <c r="U1313" s="1">
        <v>60</v>
      </c>
      <c r="V1313" s="1">
        <v>59</v>
      </c>
    </row>
    <row r="1314" spans="1:22" x14ac:dyDescent="0.2">
      <c r="A1314" s="1" t="s">
        <v>1146</v>
      </c>
      <c r="B1314" s="1" t="s">
        <v>1320</v>
      </c>
      <c r="C1314" s="1">
        <v>6</v>
      </c>
      <c r="D1314" s="1">
        <v>13</v>
      </c>
      <c r="E1314" s="1">
        <v>12</v>
      </c>
      <c r="F1314" s="1">
        <v>15</v>
      </c>
      <c r="G1314" s="1">
        <v>10</v>
      </c>
      <c r="H1314" s="1">
        <v>7</v>
      </c>
      <c r="I1314" s="1">
        <v>8</v>
      </c>
      <c r="J1314" s="1">
        <v>6</v>
      </c>
      <c r="K1314" s="1">
        <v>3</v>
      </c>
      <c r="L1314" s="1">
        <v>6</v>
      </c>
      <c r="M1314" s="1">
        <v>3</v>
      </c>
      <c r="N1314" s="1">
        <v>5</v>
      </c>
      <c r="O1314" s="1">
        <v>2</v>
      </c>
      <c r="P1314" s="1">
        <v>4</v>
      </c>
      <c r="Q1314" s="1">
        <v>5</v>
      </c>
      <c r="R1314" s="1">
        <v>6</v>
      </c>
      <c r="S1314" s="1">
        <v>8</v>
      </c>
      <c r="T1314" s="1">
        <v>7</v>
      </c>
      <c r="U1314" s="1">
        <v>10</v>
      </c>
      <c r="V1314" s="1">
        <v>11</v>
      </c>
    </row>
    <row r="1315" spans="1:22" x14ac:dyDescent="0.2">
      <c r="A1315" s="1" t="s">
        <v>1146</v>
      </c>
      <c r="B1315" s="1" t="s">
        <v>1321</v>
      </c>
      <c r="C1315" s="1">
        <f>SUM(C1316:C1338)</f>
        <v>226</v>
      </c>
      <c r="D1315" s="1">
        <f>SUM(D1316:D1338)</f>
        <v>215</v>
      </c>
      <c r="E1315" s="1">
        <f>SUM(E1316:E1338)</f>
        <v>295</v>
      </c>
      <c r="F1315" s="1">
        <f>SUM(F1316:F1338)</f>
        <v>330</v>
      </c>
      <c r="G1315" s="1">
        <f t="shared" ref="G1315:T1315" si="245">SUM(G1316:G1338)</f>
        <v>339</v>
      </c>
      <c r="H1315" s="1">
        <f t="shared" si="245"/>
        <v>384</v>
      </c>
      <c r="I1315" s="1">
        <f t="shared" si="245"/>
        <v>471</v>
      </c>
      <c r="J1315" s="1">
        <f t="shared" si="245"/>
        <v>530</v>
      </c>
      <c r="K1315" s="1">
        <f t="shared" si="245"/>
        <v>617</v>
      </c>
      <c r="L1315" s="1">
        <f t="shared" si="245"/>
        <v>5458</v>
      </c>
      <c r="M1315" s="1">
        <f t="shared" si="245"/>
        <v>4301</v>
      </c>
      <c r="N1315" s="1">
        <f t="shared" si="245"/>
        <v>3985</v>
      </c>
      <c r="O1315" s="1">
        <f t="shared" si="245"/>
        <v>4142</v>
      </c>
      <c r="P1315" s="1">
        <f t="shared" si="245"/>
        <v>3920</v>
      </c>
      <c r="Q1315" s="1">
        <f t="shared" si="245"/>
        <v>3676</v>
      </c>
      <c r="R1315" s="1">
        <f t="shared" si="245"/>
        <v>3699</v>
      </c>
      <c r="S1315" s="1">
        <f t="shared" si="245"/>
        <v>3494</v>
      </c>
      <c r="T1315" s="1">
        <f t="shared" si="245"/>
        <v>3456</v>
      </c>
      <c r="U1315" s="1">
        <f>SUM(U1316:U1338)</f>
        <v>3589</v>
      </c>
      <c r="V1315" s="1">
        <f>SUM(V1316:V1338)</f>
        <v>3495</v>
      </c>
    </row>
    <row r="1316" spans="1:22" x14ac:dyDescent="0.2">
      <c r="A1316" s="1" t="s">
        <v>1146</v>
      </c>
      <c r="B1316" s="1" t="s">
        <v>1322</v>
      </c>
      <c r="C1316" s="1">
        <v>0</v>
      </c>
      <c r="D1316" s="1">
        <v>0</v>
      </c>
      <c r="E1316" s="1">
        <v>0</v>
      </c>
      <c r="F1316" s="1">
        <v>0</v>
      </c>
      <c r="G1316" s="1">
        <v>0</v>
      </c>
      <c r="H1316" s="1">
        <v>0</v>
      </c>
      <c r="I1316" s="1">
        <v>0</v>
      </c>
      <c r="J1316" s="1">
        <v>0</v>
      </c>
      <c r="K1316" s="1">
        <v>1</v>
      </c>
      <c r="L1316" s="1">
        <v>0</v>
      </c>
      <c r="M1316" s="1">
        <v>0</v>
      </c>
      <c r="N1316" s="1">
        <v>0</v>
      </c>
      <c r="O1316" s="1">
        <v>0</v>
      </c>
      <c r="P1316" s="1">
        <v>0</v>
      </c>
      <c r="Q1316" s="1">
        <v>0</v>
      </c>
      <c r="R1316" s="1">
        <v>0</v>
      </c>
      <c r="S1316" s="1">
        <v>0</v>
      </c>
      <c r="T1316" s="1">
        <v>0</v>
      </c>
      <c r="U1316" s="1">
        <v>0</v>
      </c>
      <c r="V1316" s="1">
        <v>0</v>
      </c>
    </row>
    <row r="1317" spans="1:22" x14ac:dyDescent="0.2">
      <c r="A1317" s="1" t="s">
        <v>1146</v>
      </c>
      <c r="B1317" s="1" t="s">
        <v>1323</v>
      </c>
      <c r="C1317" s="1">
        <v>0</v>
      </c>
      <c r="D1317" s="1">
        <v>0</v>
      </c>
      <c r="E1317" s="1">
        <v>0</v>
      </c>
      <c r="F1317" s="1">
        <v>57</v>
      </c>
      <c r="G1317" s="1">
        <v>113</v>
      </c>
      <c r="H1317" s="1">
        <v>116</v>
      </c>
      <c r="I1317" s="1">
        <v>219</v>
      </c>
      <c r="J1317" s="1">
        <v>252</v>
      </c>
      <c r="K1317" s="1">
        <v>371</v>
      </c>
      <c r="L1317" s="1">
        <v>330</v>
      </c>
      <c r="M1317" s="1">
        <v>318</v>
      </c>
      <c r="N1317" s="1">
        <v>368</v>
      </c>
      <c r="O1317" s="1">
        <v>376</v>
      </c>
      <c r="P1317" s="1">
        <v>345</v>
      </c>
      <c r="Q1317" s="1">
        <v>381</v>
      </c>
      <c r="R1317" s="1">
        <v>303</v>
      </c>
      <c r="S1317" s="1">
        <v>217</v>
      </c>
      <c r="T1317" s="1">
        <v>312</v>
      </c>
      <c r="U1317" s="1">
        <v>316</v>
      </c>
      <c r="V1317" s="1">
        <v>331</v>
      </c>
    </row>
    <row r="1318" spans="1:22" x14ac:dyDescent="0.2">
      <c r="A1318" s="1" t="s">
        <v>1146</v>
      </c>
      <c r="B1318" s="1" t="s">
        <v>1324</v>
      </c>
      <c r="C1318" s="1">
        <v>0</v>
      </c>
      <c r="D1318" s="1">
        <v>0</v>
      </c>
      <c r="E1318" s="1">
        <v>0</v>
      </c>
      <c r="F1318" s="1">
        <v>0</v>
      </c>
      <c r="G1318" s="1">
        <v>0</v>
      </c>
      <c r="H1318" s="1">
        <v>0</v>
      </c>
      <c r="I1318" s="1">
        <v>7</v>
      </c>
      <c r="J1318" s="1">
        <v>13</v>
      </c>
      <c r="K1318" s="1">
        <v>23</v>
      </c>
      <c r="L1318" s="1">
        <v>6</v>
      </c>
      <c r="M1318" s="1">
        <v>9</v>
      </c>
      <c r="N1318" s="1">
        <v>8</v>
      </c>
      <c r="O1318" s="1">
        <v>5</v>
      </c>
      <c r="P1318" s="1">
        <v>10</v>
      </c>
      <c r="Q1318" s="1">
        <v>2</v>
      </c>
      <c r="R1318" s="1">
        <v>1</v>
      </c>
      <c r="S1318" s="1">
        <v>9</v>
      </c>
      <c r="T1318" s="1">
        <v>0</v>
      </c>
      <c r="U1318" s="1">
        <v>0</v>
      </c>
      <c r="V1318" s="1">
        <v>4</v>
      </c>
    </row>
    <row r="1319" spans="1:22" x14ac:dyDescent="0.2">
      <c r="A1319" s="1" t="s">
        <v>1146</v>
      </c>
      <c r="B1319" s="1" t="s">
        <v>1325</v>
      </c>
      <c r="C1319" s="1">
        <v>0</v>
      </c>
      <c r="D1319" s="1">
        <v>0</v>
      </c>
      <c r="E1319" s="1">
        <v>0</v>
      </c>
      <c r="F1319" s="1">
        <v>0</v>
      </c>
      <c r="G1319" s="1">
        <v>0</v>
      </c>
      <c r="H1319" s="1">
        <v>0</v>
      </c>
      <c r="I1319" s="1">
        <v>0</v>
      </c>
      <c r="J1319" s="1">
        <v>0</v>
      </c>
      <c r="K1319" s="1">
        <v>0</v>
      </c>
      <c r="L1319" s="1">
        <v>0</v>
      </c>
      <c r="M1319" s="1">
        <v>3</v>
      </c>
      <c r="N1319" s="1">
        <v>1</v>
      </c>
      <c r="O1319" s="1">
        <v>0</v>
      </c>
      <c r="P1319" s="1">
        <v>1</v>
      </c>
      <c r="Q1319" s="1">
        <v>0</v>
      </c>
      <c r="R1319" s="1">
        <v>0</v>
      </c>
      <c r="S1319" s="1">
        <v>0</v>
      </c>
      <c r="T1319" s="1">
        <v>0</v>
      </c>
      <c r="U1319" s="1">
        <v>0</v>
      </c>
      <c r="V1319" s="1">
        <v>0</v>
      </c>
    </row>
    <row r="1320" spans="1:22" x14ac:dyDescent="0.2">
      <c r="A1320" s="1" t="s">
        <v>1146</v>
      </c>
      <c r="B1320" s="1" t="s">
        <v>1326</v>
      </c>
      <c r="C1320" s="1">
        <v>0</v>
      </c>
      <c r="D1320" s="1">
        <v>0</v>
      </c>
      <c r="E1320" s="1">
        <v>0</v>
      </c>
      <c r="F1320" s="1">
        <v>0</v>
      </c>
      <c r="G1320" s="1">
        <v>0</v>
      </c>
      <c r="H1320" s="1">
        <v>0</v>
      </c>
      <c r="I1320" s="1">
        <v>3</v>
      </c>
      <c r="J1320" s="1">
        <v>1</v>
      </c>
      <c r="K1320" s="1">
        <v>0</v>
      </c>
      <c r="L1320" s="1">
        <v>1</v>
      </c>
      <c r="M1320" s="1">
        <v>6</v>
      </c>
      <c r="N1320" s="1">
        <v>2</v>
      </c>
      <c r="O1320" s="1">
        <v>2</v>
      </c>
      <c r="P1320" s="1">
        <v>0</v>
      </c>
      <c r="Q1320" s="1">
        <v>3</v>
      </c>
      <c r="R1320" s="1">
        <v>0</v>
      </c>
      <c r="S1320" s="1">
        <v>1</v>
      </c>
      <c r="T1320" s="1">
        <v>2</v>
      </c>
      <c r="U1320" s="1">
        <v>0</v>
      </c>
      <c r="V1320" s="1">
        <v>1</v>
      </c>
    </row>
    <row r="1321" spans="1:22" x14ac:dyDescent="0.2">
      <c r="A1321" s="1" t="s">
        <v>1146</v>
      </c>
      <c r="B1321" s="1" t="s">
        <v>1327</v>
      </c>
      <c r="C1321" s="1">
        <v>0</v>
      </c>
      <c r="D1321" s="1">
        <v>0</v>
      </c>
      <c r="E1321" s="1">
        <v>0</v>
      </c>
      <c r="F1321" s="1">
        <v>0</v>
      </c>
      <c r="G1321" s="1">
        <v>0</v>
      </c>
      <c r="H1321" s="1">
        <v>0</v>
      </c>
      <c r="I1321" s="1">
        <v>0</v>
      </c>
      <c r="J1321" s="1">
        <v>0</v>
      </c>
      <c r="K1321" s="1">
        <v>0</v>
      </c>
      <c r="L1321" s="1">
        <v>4822</v>
      </c>
      <c r="M1321" s="1">
        <v>3688</v>
      </c>
      <c r="N1321" s="1">
        <v>3356</v>
      </c>
      <c r="O1321" s="1">
        <v>3487</v>
      </c>
      <c r="P1321" s="1">
        <v>3333</v>
      </c>
      <c r="Q1321" s="1">
        <v>3057</v>
      </c>
      <c r="R1321" s="1">
        <v>3163</v>
      </c>
      <c r="S1321" s="1">
        <v>3102</v>
      </c>
      <c r="T1321" s="1">
        <v>2955</v>
      </c>
      <c r="U1321" s="1">
        <v>3043</v>
      </c>
      <c r="V1321" s="1">
        <v>2894</v>
      </c>
    </row>
    <row r="1322" spans="1:22" x14ac:dyDescent="0.2">
      <c r="A1322" s="1" t="s">
        <v>1146</v>
      </c>
      <c r="B1322" s="1" t="s">
        <v>1328</v>
      </c>
      <c r="C1322" s="1">
        <v>3</v>
      </c>
      <c r="D1322" s="1">
        <v>2</v>
      </c>
      <c r="E1322" s="1">
        <v>2</v>
      </c>
      <c r="F1322" s="1">
        <v>13</v>
      </c>
      <c r="G1322" s="1">
        <v>7</v>
      </c>
      <c r="H1322" s="1">
        <v>15</v>
      </c>
      <c r="I1322" s="1">
        <v>6</v>
      </c>
      <c r="J1322" s="1">
        <v>5</v>
      </c>
      <c r="K1322" s="1">
        <v>3</v>
      </c>
      <c r="L1322" s="1">
        <v>3</v>
      </c>
      <c r="M1322" s="1">
        <v>1</v>
      </c>
      <c r="N1322" s="1">
        <v>4</v>
      </c>
      <c r="O1322" s="1">
        <v>2</v>
      </c>
      <c r="P1322" s="1">
        <v>0</v>
      </c>
      <c r="Q1322" s="1">
        <v>1</v>
      </c>
      <c r="R1322" s="1">
        <v>0</v>
      </c>
      <c r="S1322" s="1">
        <v>1</v>
      </c>
      <c r="T1322" s="1">
        <v>0</v>
      </c>
      <c r="U1322" s="1">
        <v>0</v>
      </c>
      <c r="V1322" s="1">
        <v>1</v>
      </c>
    </row>
    <row r="1323" spans="1:22" x14ac:dyDescent="0.2">
      <c r="A1323" s="1" t="s">
        <v>1146</v>
      </c>
      <c r="B1323" s="1" t="s">
        <v>1329</v>
      </c>
      <c r="C1323" s="1">
        <v>0</v>
      </c>
      <c r="D1323" s="1">
        <v>0</v>
      </c>
      <c r="E1323" s="1">
        <v>0</v>
      </c>
      <c r="F1323" s="1">
        <v>0</v>
      </c>
      <c r="G1323" s="1">
        <v>0</v>
      </c>
      <c r="H1323" s="1">
        <v>0</v>
      </c>
      <c r="I1323" s="1">
        <v>1</v>
      </c>
      <c r="J1323" s="1">
        <v>0</v>
      </c>
      <c r="K1323" s="1">
        <v>1</v>
      </c>
      <c r="L1323" s="1">
        <v>0</v>
      </c>
      <c r="M1323" s="1">
        <v>0</v>
      </c>
      <c r="N1323" s="1">
        <v>0</v>
      </c>
      <c r="O1323" s="1">
        <v>0</v>
      </c>
      <c r="P1323" s="1">
        <v>0</v>
      </c>
      <c r="Q1323" s="1">
        <v>0</v>
      </c>
      <c r="R1323" s="1">
        <v>1</v>
      </c>
      <c r="S1323" s="1">
        <v>0</v>
      </c>
      <c r="T1323" s="1">
        <v>2</v>
      </c>
      <c r="U1323" s="1">
        <v>0</v>
      </c>
      <c r="V1323" s="1">
        <v>2</v>
      </c>
    </row>
    <row r="1324" spans="1:22" x14ac:dyDescent="0.2">
      <c r="A1324" s="1" t="s">
        <v>1146</v>
      </c>
      <c r="B1324" s="1" t="s">
        <v>1330</v>
      </c>
      <c r="C1324" s="1">
        <v>1</v>
      </c>
      <c r="D1324" s="1">
        <v>6</v>
      </c>
      <c r="E1324" s="1">
        <v>2</v>
      </c>
      <c r="F1324" s="1">
        <v>5</v>
      </c>
      <c r="G1324" s="1">
        <v>2</v>
      </c>
      <c r="H1324" s="1">
        <v>0</v>
      </c>
      <c r="I1324" s="1">
        <v>0</v>
      </c>
      <c r="J1324" s="1">
        <v>2</v>
      </c>
      <c r="K1324" s="1">
        <v>1</v>
      </c>
      <c r="L1324" s="1">
        <v>2</v>
      </c>
      <c r="M1324" s="1">
        <v>1</v>
      </c>
      <c r="N1324" s="1">
        <v>2</v>
      </c>
      <c r="O1324" s="1">
        <v>1</v>
      </c>
      <c r="P1324" s="1">
        <v>1</v>
      </c>
      <c r="Q1324" s="1">
        <v>1</v>
      </c>
      <c r="R1324" s="1">
        <v>1</v>
      </c>
      <c r="S1324" s="1">
        <v>1</v>
      </c>
      <c r="T1324" s="1">
        <v>2</v>
      </c>
      <c r="U1324" s="1">
        <v>2</v>
      </c>
      <c r="V1324" s="1">
        <v>3</v>
      </c>
    </row>
    <row r="1325" spans="1:22" x14ac:dyDescent="0.2">
      <c r="A1325" s="1" t="s">
        <v>1146</v>
      </c>
      <c r="B1325" s="1" t="s">
        <v>1331</v>
      </c>
      <c r="C1325" s="1">
        <v>39</v>
      </c>
      <c r="D1325" s="1">
        <v>6</v>
      </c>
      <c r="E1325" s="1">
        <v>46</v>
      </c>
      <c r="F1325" s="1">
        <v>13</v>
      </c>
      <c r="G1325" s="1">
        <v>8</v>
      </c>
      <c r="H1325" s="1">
        <v>2</v>
      </c>
      <c r="I1325" s="1">
        <v>7</v>
      </c>
      <c r="J1325" s="1">
        <v>4</v>
      </c>
      <c r="K1325" s="1">
        <v>1</v>
      </c>
      <c r="L1325" s="1">
        <v>6</v>
      </c>
      <c r="M1325" s="1">
        <v>4</v>
      </c>
      <c r="N1325" s="1">
        <v>0</v>
      </c>
      <c r="O1325" s="1">
        <v>1</v>
      </c>
      <c r="P1325" s="1">
        <v>0</v>
      </c>
      <c r="Q1325" s="1">
        <v>0</v>
      </c>
      <c r="R1325" s="1">
        <v>0</v>
      </c>
      <c r="S1325" s="1">
        <v>1</v>
      </c>
      <c r="T1325" s="1">
        <v>0</v>
      </c>
      <c r="U1325" s="1">
        <v>0</v>
      </c>
      <c r="V1325" s="1">
        <v>0</v>
      </c>
    </row>
    <row r="1326" spans="1:22" x14ac:dyDescent="0.2">
      <c r="A1326" s="1" t="s">
        <v>1146</v>
      </c>
      <c r="B1326" s="1" t="s">
        <v>1332</v>
      </c>
      <c r="C1326" s="1">
        <v>0</v>
      </c>
      <c r="D1326" s="1">
        <v>0</v>
      </c>
      <c r="E1326" s="1">
        <v>0</v>
      </c>
      <c r="F1326" s="1">
        <v>0</v>
      </c>
      <c r="G1326" s="1">
        <v>1</v>
      </c>
      <c r="H1326" s="1">
        <v>1</v>
      </c>
      <c r="I1326" s="1">
        <v>9</v>
      </c>
      <c r="J1326" s="1">
        <v>2</v>
      </c>
      <c r="K1326" s="1">
        <v>2</v>
      </c>
      <c r="L1326" s="1">
        <v>1</v>
      </c>
      <c r="M1326" s="1">
        <v>0</v>
      </c>
      <c r="N1326" s="1">
        <v>0</v>
      </c>
      <c r="O1326" s="1">
        <v>0</v>
      </c>
      <c r="P1326" s="1">
        <v>0</v>
      </c>
      <c r="Q1326" s="1">
        <v>0</v>
      </c>
      <c r="R1326" s="1">
        <v>1</v>
      </c>
      <c r="S1326" s="1">
        <v>0</v>
      </c>
      <c r="T1326" s="1">
        <v>0</v>
      </c>
      <c r="U1326" s="1">
        <v>0</v>
      </c>
      <c r="V1326" s="1">
        <v>1</v>
      </c>
    </row>
    <row r="1327" spans="1:22" x14ac:dyDescent="0.2">
      <c r="A1327" s="1" t="s">
        <v>1146</v>
      </c>
      <c r="B1327" s="1" t="s">
        <v>1333</v>
      </c>
      <c r="C1327" s="1">
        <v>0</v>
      </c>
      <c r="D1327" s="1">
        <v>2</v>
      </c>
      <c r="E1327" s="1">
        <v>0</v>
      </c>
      <c r="F1327" s="1">
        <v>0</v>
      </c>
      <c r="G1327" s="1">
        <v>0</v>
      </c>
      <c r="H1327" s="1">
        <v>0</v>
      </c>
      <c r="I1327" s="1">
        <v>0</v>
      </c>
      <c r="J1327" s="1">
        <v>19</v>
      </c>
      <c r="K1327" s="1">
        <v>9</v>
      </c>
      <c r="L1327" s="1">
        <v>44</v>
      </c>
      <c r="M1327" s="1">
        <v>48</v>
      </c>
      <c r="N1327" s="1">
        <v>12</v>
      </c>
      <c r="O1327" s="1">
        <v>23</v>
      </c>
      <c r="P1327" s="1">
        <v>36</v>
      </c>
      <c r="Q1327" s="1">
        <v>42</v>
      </c>
      <c r="R1327" s="1">
        <v>28</v>
      </c>
      <c r="S1327" s="1">
        <v>11</v>
      </c>
      <c r="T1327" s="1">
        <f>16+5</f>
        <v>21</v>
      </c>
      <c r="U1327" s="1">
        <v>18</v>
      </c>
      <c r="V1327" s="1">
        <v>37</v>
      </c>
    </row>
    <row r="1328" spans="1:22" x14ac:dyDescent="0.2">
      <c r="A1328" s="1" t="s">
        <v>1146</v>
      </c>
      <c r="B1328" s="1" t="s">
        <v>1334</v>
      </c>
      <c r="C1328" s="1">
        <v>21</v>
      </c>
      <c r="D1328" s="1">
        <v>13</v>
      </c>
      <c r="E1328" s="1">
        <v>15</v>
      </c>
      <c r="F1328" s="1">
        <v>14</v>
      </c>
      <c r="G1328" s="1">
        <v>11</v>
      </c>
      <c r="H1328" s="1">
        <v>11</v>
      </c>
      <c r="I1328" s="1">
        <v>11</v>
      </c>
      <c r="J1328" s="1">
        <v>12</v>
      </c>
      <c r="K1328" s="1">
        <v>9</v>
      </c>
      <c r="L1328" s="1">
        <v>10</v>
      </c>
      <c r="M1328" s="1">
        <v>9</v>
      </c>
      <c r="N1328" s="1">
        <v>5</v>
      </c>
      <c r="O1328" s="1">
        <v>7</v>
      </c>
      <c r="P1328" s="1">
        <v>4</v>
      </c>
      <c r="Q1328" s="1">
        <v>3</v>
      </c>
      <c r="R1328" s="1">
        <v>3</v>
      </c>
      <c r="S1328" s="1">
        <v>4</v>
      </c>
      <c r="T1328" s="1">
        <v>0</v>
      </c>
      <c r="U1328" s="1">
        <v>0</v>
      </c>
      <c r="V1328" s="1">
        <v>0</v>
      </c>
    </row>
    <row r="1329" spans="1:22" x14ac:dyDescent="0.2">
      <c r="A1329" s="1" t="s">
        <v>1146</v>
      </c>
      <c r="B1329" s="1" t="s">
        <v>1335</v>
      </c>
      <c r="C1329" s="1">
        <v>148</v>
      </c>
      <c r="D1329" s="1">
        <v>175</v>
      </c>
      <c r="E1329" s="1">
        <v>203</v>
      </c>
      <c r="F1329" s="1">
        <v>205</v>
      </c>
      <c r="G1329" s="1">
        <v>162</v>
      </c>
      <c r="H1329" s="1">
        <v>196</v>
      </c>
      <c r="I1329" s="1">
        <v>183</v>
      </c>
      <c r="J1329" s="1">
        <v>182</v>
      </c>
      <c r="K1329" s="1">
        <v>155</v>
      </c>
      <c r="L1329" s="1">
        <v>191</v>
      </c>
      <c r="M1329" s="1">
        <v>185</v>
      </c>
      <c r="N1329" s="1">
        <v>196</v>
      </c>
      <c r="O1329" s="1">
        <v>194</v>
      </c>
      <c r="P1329" s="1">
        <v>165</v>
      </c>
      <c r="Q1329" s="1">
        <v>161</v>
      </c>
      <c r="R1329" s="1">
        <v>168</v>
      </c>
      <c r="S1329" s="1">
        <v>138</v>
      </c>
      <c r="T1329" s="1">
        <v>159</v>
      </c>
      <c r="U1329" s="1">
        <v>168</v>
      </c>
      <c r="V1329" s="1">
        <v>194</v>
      </c>
    </row>
    <row r="1330" spans="1:22" x14ac:dyDescent="0.2">
      <c r="A1330" s="1" t="s">
        <v>1146</v>
      </c>
      <c r="B1330" s="1" t="s">
        <v>1336</v>
      </c>
      <c r="C1330" s="1">
        <v>0</v>
      </c>
      <c r="D1330" s="1">
        <v>0</v>
      </c>
      <c r="E1330" s="1">
        <v>0</v>
      </c>
      <c r="F1330" s="1">
        <v>16</v>
      </c>
      <c r="G1330" s="1">
        <v>19</v>
      </c>
      <c r="H1330" s="1">
        <v>11</v>
      </c>
      <c r="I1330" s="1">
        <v>15</v>
      </c>
      <c r="J1330" s="1">
        <v>27</v>
      </c>
      <c r="K1330" s="1">
        <v>31</v>
      </c>
      <c r="L1330" s="1">
        <v>32</v>
      </c>
      <c r="M1330" s="1">
        <v>19</v>
      </c>
      <c r="N1330" s="1">
        <v>27</v>
      </c>
      <c r="O1330" s="1">
        <v>31</v>
      </c>
      <c r="P1330" s="1">
        <v>11</v>
      </c>
      <c r="Q1330" s="1">
        <v>22</v>
      </c>
      <c r="R1330" s="1">
        <v>14</v>
      </c>
      <c r="S1330" s="1">
        <v>8</v>
      </c>
      <c r="T1330" s="1">
        <v>3</v>
      </c>
      <c r="U1330" s="1">
        <v>42</v>
      </c>
      <c r="V1330" s="1">
        <v>22</v>
      </c>
    </row>
    <row r="1331" spans="1:22" x14ac:dyDescent="0.2">
      <c r="A1331" s="1" t="s">
        <v>1146</v>
      </c>
      <c r="B1331" s="1" t="s">
        <v>1337</v>
      </c>
      <c r="C1331" s="1">
        <v>1</v>
      </c>
      <c r="D1331" s="1">
        <v>0</v>
      </c>
      <c r="E1331" s="1">
        <v>0</v>
      </c>
      <c r="F1331" s="1">
        <v>0</v>
      </c>
      <c r="G1331" s="1">
        <v>0</v>
      </c>
      <c r="H1331" s="1">
        <v>2</v>
      </c>
      <c r="I1331" s="1">
        <v>0</v>
      </c>
      <c r="J1331" s="1">
        <v>2</v>
      </c>
      <c r="K1331" s="1">
        <v>4</v>
      </c>
      <c r="L1331" s="1">
        <v>2</v>
      </c>
      <c r="M1331" s="1">
        <v>1</v>
      </c>
      <c r="N1331" s="1">
        <v>0</v>
      </c>
      <c r="O1331" s="1">
        <v>0</v>
      </c>
      <c r="P1331" s="1">
        <v>0</v>
      </c>
      <c r="Q1331" s="1">
        <v>0</v>
      </c>
      <c r="R1331" s="1">
        <v>0</v>
      </c>
      <c r="S1331" s="1">
        <v>0</v>
      </c>
      <c r="T1331" s="1">
        <v>0</v>
      </c>
      <c r="U1331" s="1">
        <v>0</v>
      </c>
      <c r="V1331" s="1">
        <v>0</v>
      </c>
    </row>
    <row r="1332" spans="1:22" x14ac:dyDescent="0.2">
      <c r="A1332" s="1" t="s">
        <v>1146</v>
      </c>
      <c r="B1332" s="1" t="s">
        <v>1338</v>
      </c>
      <c r="C1332" s="1">
        <v>0</v>
      </c>
      <c r="D1332" s="1">
        <v>0</v>
      </c>
      <c r="E1332" s="1">
        <v>0</v>
      </c>
      <c r="F1332" s="1">
        <v>0</v>
      </c>
      <c r="G1332" s="1">
        <v>0</v>
      </c>
      <c r="H1332" s="1">
        <v>0</v>
      </c>
      <c r="I1332" s="1">
        <v>0</v>
      </c>
      <c r="J1332" s="1">
        <v>0</v>
      </c>
      <c r="K1332" s="1">
        <v>0</v>
      </c>
      <c r="L1332" s="1">
        <v>1</v>
      </c>
      <c r="M1332" s="1">
        <v>0</v>
      </c>
      <c r="N1332" s="1">
        <v>1</v>
      </c>
      <c r="O1332" s="1">
        <v>2</v>
      </c>
      <c r="P1332" s="1">
        <v>4</v>
      </c>
      <c r="Q1332" s="1">
        <v>0</v>
      </c>
      <c r="R1332" s="1">
        <v>0</v>
      </c>
      <c r="S1332" s="1">
        <v>0</v>
      </c>
      <c r="T1332" s="1">
        <v>0</v>
      </c>
      <c r="U1332" s="1">
        <v>0</v>
      </c>
      <c r="V1332" s="1">
        <v>0</v>
      </c>
    </row>
    <row r="1333" spans="1:22" x14ac:dyDescent="0.2">
      <c r="A1333" s="1" t="s">
        <v>1146</v>
      </c>
      <c r="B1333" s="1" t="s">
        <v>1339</v>
      </c>
      <c r="C1333" s="1">
        <v>7</v>
      </c>
      <c r="D1333" s="1">
        <v>6</v>
      </c>
      <c r="E1333" s="1">
        <v>20</v>
      </c>
      <c r="F1333" s="1">
        <v>6</v>
      </c>
      <c r="G1333" s="1">
        <v>10</v>
      </c>
      <c r="H1333" s="1">
        <v>26</v>
      </c>
      <c r="I1333" s="1">
        <v>9</v>
      </c>
      <c r="J1333" s="1">
        <v>5</v>
      </c>
      <c r="K1333" s="1">
        <v>3</v>
      </c>
      <c r="L1333" s="1">
        <v>5</v>
      </c>
      <c r="M1333" s="1">
        <v>6</v>
      </c>
      <c r="N1333" s="1">
        <v>0</v>
      </c>
      <c r="O1333" s="1">
        <v>5</v>
      </c>
      <c r="P1333" s="1">
        <v>5</v>
      </c>
      <c r="Q1333" s="1">
        <v>3</v>
      </c>
      <c r="R1333" s="1">
        <v>4</v>
      </c>
      <c r="S1333" s="1">
        <v>0</v>
      </c>
      <c r="T1333" s="1">
        <v>0</v>
      </c>
      <c r="U1333" s="1">
        <v>0</v>
      </c>
      <c r="V1333" s="1">
        <v>0</v>
      </c>
    </row>
    <row r="1334" spans="1:22" x14ac:dyDescent="0.2">
      <c r="A1334" s="1" t="s">
        <v>1146</v>
      </c>
      <c r="B1334" s="1" t="s">
        <v>1340</v>
      </c>
      <c r="C1334" s="1">
        <v>1</v>
      </c>
      <c r="D1334" s="1">
        <v>0</v>
      </c>
      <c r="E1334" s="1">
        <v>1</v>
      </c>
      <c r="F1334" s="1">
        <v>0</v>
      </c>
      <c r="G1334" s="1">
        <v>4</v>
      </c>
      <c r="H1334" s="1">
        <v>4</v>
      </c>
      <c r="I1334" s="1">
        <v>0</v>
      </c>
      <c r="J1334" s="1">
        <v>1</v>
      </c>
      <c r="K1334" s="1">
        <v>0</v>
      </c>
      <c r="L1334" s="1">
        <v>2</v>
      </c>
      <c r="M1334" s="1">
        <v>1</v>
      </c>
      <c r="N1334" s="1">
        <v>2</v>
      </c>
      <c r="O1334" s="1">
        <v>5</v>
      </c>
      <c r="P1334" s="1">
        <v>1</v>
      </c>
      <c r="Q1334" s="1">
        <v>0</v>
      </c>
      <c r="R1334" s="1">
        <v>3</v>
      </c>
      <c r="S1334" s="1">
        <v>0</v>
      </c>
      <c r="T1334" s="1">
        <v>0</v>
      </c>
      <c r="U1334" s="1">
        <v>0</v>
      </c>
      <c r="V1334" s="1">
        <v>4</v>
      </c>
    </row>
    <row r="1335" spans="1:22" x14ac:dyDescent="0.2">
      <c r="A1335" s="1" t="s">
        <v>1146</v>
      </c>
      <c r="B1335" s="1" t="s">
        <v>1341</v>
      </c>
      <c r="C1335" s="1">
        <v>0</v>
      </c>
      <c r="D1335" s="1">
        <v>0</v>
      </c>
      <c r="E1335" s="1">
        <v>0</v>
      </c>
      <c r="F1335" s="1">
        <v>0</v>
      </c>
      <c r="G1335" s="1">
        <v>0</v>
      </c>
      <c r="H1335" s="1">
        <v>0</v>
      </c>
      <c r="I1335" s="1">
        <v>0</v>
      </c>
      <c r="J1335" s="1">
        <v>0</v>
      </c>
      <c r="K1335" s="1">
        <v>0</v>
      </c>
      <c r="L1335" s="1">
        <v>0</v>
      </c>
      <c r="M1335" s="1">
        <v>0</v>
      </c>
      <c r="N1335" s="1">
        <v>1</v>
      </c>
      <c r="O1335" s="1">
        <v>0</v>
      </c>
      <c r="P1335" s="1">
        <v>0</v>
      </c>
      <c r="Q1335" s="1">
        <v>0</v>
      </c>
      <c r="R1335" s="1">
        <v>0</v>
      </c>
      <c r="S1335" s="1">
        <v>0</v>
      </c>
      <c r="T1335" s="1">
        <v>0</v>
      </c>
      <c r="U1335" s="1">
        <v>0</v>
      </c>
      <c r="V1335" s="1">
        <v>0</v>
      </c>
    </row>
    <row r="1336" spans="1:22" x14ac:dyDescent="0.2">
      <c r="A1336" s="1" t="s">
        <v>1146</v>
      </c>
      <c r="B1336" s="1" t="s">
        <v>1342</v>
      </c>
      <c r="C1336" s="1">
        <v>0</v>
      </c>
      <c r="D1336" s="1">
        <v>0</v>
      </c>
      <c r="E1336" s="1">
        <v>0</v>
      </c>
      <c r="F1336" s="1">
        <v>0</v>
      </c>
      <c r="G1336" s="1">
        <v>0</v>
      </c>
      <c r="H1336" s="1">
        <v>0</v>
      </c>
      <c r="I1336" s="1">
        <v>0</v>
      </c>
      <c r="J1336" s="1">
        <v>0</v>
      </c>
      <c r="K1336" s="1">
        <v>0</v>
      </c>
      <c r="L1336" s="1">
        <v>0</v>
      </c>
      <c r="M1336" s="1">
        <v>0</v>
      </c>
      <c r="N1336" s="1">
        <v>0</v>
      </c>
      <c r="O1336" s="1">
        <v>0</v>
      </c>
      <c r="P1336" s="1">
        <v>0</v>
      </c>
      <c r="Q1336" s="1">
        <v>0</v>
      </c>
      <c r="R1336" s="1">
        <v>9</v>
      </c>
      <c r="S1336" s="1">
        <v>0</v>
      </c>
      <c r="T1336" s="1">
        <v>0</v>
      </c>
      <c r="U1336" s="1">
        <v>0</v>
      </c>
      <c r="V1336" s="1">
        <v>0</v>
      </c>
    </row>
    <row r="1337" spans="1:22" x14ac:dyDescent="0.2">
      <c r="A1337" s="1" t="s">
        <v>1146</v>
      </c>
      <c r="B1337" s="1" t="s">
        <v>1343</v>
      </c>
      <c r="C1337" s="1">
        <v>0</v>
      </c>
      <c r="D1337" s="1">
        <v>0</v>
      </c>
      <c r="E1337" s="1">
        <v>0</v>
      </c>
      <c r="F1337" s="1">
        <v>0</v>
      </c>
      <c r="G1337" s="1">
        <v>0</v>
      </c>
      <c r="H1337" s="1">
        <v>0</v>
      </c>
      <c r="I1337" s="1">
        <v>0</v>
      </c>
      <c r="J1337" s="1">
        <v>1</v>
      </c>
      <c r="K1337" s="1">
        <v>2</v>
      </c>
      <c r="L1337" s="1">
        <v>0</v>
      </c>
      <c r="M1337" s="1">
        <v>2</v>
      </c>
      <c r="N1337" s="1">
        <v>0</v>
      </c>
      <c r="O1337" s="1">
        <v>1</v>
      </c>
      <c r="P1337" s="1">
        <v>2</v>
      </c>
      <c r="Q1337" s="1">
        <v>0</v>
      </c>
      <c r="R1337" s="1">
        <v>0</v>
      </c>
      <c r="S1337" s="1">
        <v>1</v>
      </c>
      <c r="T1337" s="1">
        <v>0</v>
      </c>
      <c r="U1337" s="1">
        <v>0</v>
      </c>
      <c r="V1337" s="1">
        <v>1</v>
      </c>
    </row>
    <row r="1338" spans="1:22" x14ac:dyDescent="0.2">
      <c r="A1338" s="1" t="s">
        <v>1146</v>
      </c>
      <c r="B1338" s="1" t="s">
        <v>1344</v>
      </c>
      <c r="C1338" s="1">
        <v>5</v>
      </c>
      <c r="D1338" s="1">
        <v>5</v>
      </c>
      <c r="E1338" s="1">
        <v>6</v>
      </c>
      <c r="F1338" s="1">
        <v>1</v>
      </c>
      <c r="G1338" s="1">
        <v>2</v>
      </c>
      <c r="H1338" s="1">
        <v>0</v>
      </c>
      <c r="I1338" s="1">
        <v>1</v>
      </c>
      <c r="J1338" s="1">
        <v>2</v>
      </c>
      <c r="K1338" s="1">
        <v>1</v>
      </c>
      <c r="L1338" s="1">
        <v>0</v>
      </c>
      <c r="M1338" s="1">
        <v>0</v>
      </c>
      <c r="N1338" s="1">
        <v>0</v>
      </c>
      <c r="O1338" s="1">
        <v>0</v>
      </c>
      <c r="P1338" s="1">
        <v>2</v>
      </c>
      <c r="Q1338" s="1">
        <v>0</v>
      </c>
      <c r="R1338" s="1">
        <v>0</v>
      </c>
      <c r="S1338" s="1">
        <v>0</v>
      </c>
      <c r="T1338" s="1">
        <v>0</v>
      </c>
      <c r="U1338" s="1">
        <v>0</v>
      </c>
      <c r="V1338" s="1">
        <v>0</v>
      </c>
    </row>
    <row r="1339" spans="1:22" x14ac:dyDescent="0.2">
      <c r="A1339" s="1" t="s">
        <v>1146</v>
      </c>
      <c r="B1339" s="1" t="s">
        <v>1345</v>
      </c>
      <c r="C1339" s="1">
        <f>SUM(C1340:C1342)</f>
        <v>9</v>
      </c>
      <c r="D1339" s="1">
        <f>SUM(D1340:D1342)</f>
        <v>12</v>
      </c>
      <c r="E1339" s="1">
        <f>SUM(E1340:E1342)</f>
        <v>18</v>
      </c>
      <c r="F1339" s="1">
        <f>SUM(F1340:F1342)</f>
        <v>4</v>
      </c>
      <c r="G1339" s="1">
        <f t="shared" ref="G1339:R1339" si="246">SUM(G1340:G1342)</f>
        <v>15</v>
      </c>
      <c r="H1339" s="1">
        <f t="shared" si="246"/>
        <v>7</v>
      </c>
      <c r="I1339" s="1">
        <f t="shared" si="246"/>
        <v>9</v>
      </c>
      <c r="J1339" s="1">
        <f t="shared" si="246"/>
        <v>6</v>
      </c>
      <c r="K1339" s="1">
        <f t="shared" si="246"/>
        <v>5</v>
      </c>
      <c r="L1339" s="1">
        <f t="shared" si="246"/>
        <v>8</v>
      </c>
      <c r="M1339" s="1">
        <f t="shared" si="246"/>
        <v>6</v>
      </c>
      <c r="N1339" s="1">
        <f t="shared" si="246"/>
        <v>5</v>
      </c>
      <c r="O1339" s="1">
        <f t="shared" si="246"/>
        <v>11</v>
      </c>
      <c r="P1339" s="1">
        <f t="shared" si="246"/>
        <v>4</v>
      </c>
      <c r="Q1339" s="1">
        <f>SUM(Q1340:Q1342)</f>
        <v>7</v>
      </c>
      <c r="R1339" s="1">
        <f t="shared" si="246"/>
        <v>3</v>
      </c>
      <c r="S1339" s="1">
        <f>SUM(S1340:S1342)</f>
        <v>3</v>
      </c>
      <c r="T1339" s="1">
        <f>SUM(T1340:T1342)</f>
        <v>9</v>
      </c>
      <c r="U1339" s="1">
        <f>SUM(U1340:U1342)</f>
        <v>6</v>
      </c>
      <c r="V1339" s="1">
        <f>SUM(V1340:V1342)</f>
        <v>24</v>
      </c>
    </row>
    <row r="1340" spans="1:22" x14ac:dyDescent="0.2">
      <c r="A1340" s="1" t="s">
        <v>1146</v>
      </c>
      <c r="B1340" s="1" t="s">
        <v>1346</v>
      </c>
      <c r="C1340" s="1">
        <v>6</v>
      </c>
      <c r="D1340" s="1">
        <v>6</v>
      </c>
      <c r="E1340" s="1">
        <v>15</v>
      </c>
      <c r="F1340" s="1">
        <v>4</v>
      </c>
      <c r="G1340" s="1">
        <v>12</v>
      </c>
      <c r="H1340" s="1">
        <v>7</v>
      </c>
      <c r="I1340" s="1">
        <v>7</v>
      </c>
      <c r="J1340" s="1">
        <v>5</v>
      </c>
      <c r="K1340" s="1">
        <v>3</v>
      </c>
      <c r="L1340" s="1">
        <v>6</v>
      </c>
      <c r="M1340" s="1">
        <v>2</v>
      </c>
      <c r="N1340" s="1">
        <v>3</v>
      </c>
      <c r="O1340" s="1">
        <v>5</v>
      </c>
      <c r="P1340" s="1">
        <v>3</v>
      </c>
      <c r="Q1340" s="1">
        <v>3</v>
      </c>
      <c r="R1340" s="1">
        <v>2</v>
      </c>
      <c r="S1340" s="1">
        <v>1</v>
      </c>
      <c r="T1340" s="1">
        <v>3</v>
      </c>
      <c r="U1340" s="1">
        <v>1</v>
      </c>
      <c r="V1340" s="1">
        <v>10</v>
      </c>
    </row>
    <row r="1341" spans="1:22" x14ac:dyDescent="0.2">
      <c r="A1341" s="1" t="s">
        <v>1146</v>
      </c>
      <c r="B1341" s="1" t="s">
        <v>1347</v>
      </c>
      <c r="C1341" s="1">
        <v>3</v>
      </c>
      <c r="D1341" s="1">
        <v>6</v>
      </c>
      <c r="E1341" s="1">
        <v>3</v>
      </c>
      <c r="F1341" s="1">
        <v>0</v>
      </c>
      <c r="G1341" s="1">
        <v>3</v>
      </c>
      <c r="H1341" s="1">
        <v>0</v>
      </c>
      <c r="I1341" s="1">
        <v>2</v>
      </c>
      <c r="J1341" s="1">
        <v>1</v>
      </c>
      <c r="K1341" s="1">
        <v>1</v>
      </c>
      <c r="L1341" s="1">
        <v>0</v>
      </c>
      <c r="M1341" s="1">
        <v>1</v>
      </c>
      <c r="N1341" s="1">
        <v>2</v>
      </c>
      <c r="O1341" s="1">
        <v>4</v>
      </c>
      <c r="P1341" s="1">
        <v>0</v>
      </c>
      <c r="Q1341" s="1">
        <v>2</v>
      </c>
      <c r="R1341" s="1">
        <v>1</v>
      </c>
      <c r="S1341" s="1">
        <v>0</v>
      </c>
      <c r="T1341" s="1">
        <v>3</v>
      </c>
      <c r="U1341" s="1">
        <v>3</v>
      </c>
      <c r="V1341" s="1">
        <v>6</v>
      </c>
    </row>
    <row r="1342" spans="1:22" x14ac:dyDescent="0.2">
      <c r="A1342" s="1" t="s">
        <v>1146</v>
      </c>
      <c r="B1342" s="1" t="s">
        <v>1348</v>
      </c>
      <c r="C1342" s="1">
        <v>0</v>
      </c>
      <c r="D1342" s="1">
        <v>0</v>
      </c>
      <c r="E1342" s="1">
        <v>0</v>
      </c>
      <c r="F1342" s="1">
        <v>0</v>
      </c>
      <c r="G1342" s="1">
        <v>0</v>
      </c>
      <c r="H1342" s="1">
        <v>0</v>
      </c>
      <c r="I1342" s="1">
        <v>0</v>
      </c>
      <c r="J1342" s="1">
        <v>0</v>
      </c>
      <c r="K1342" s="1">
        <v>1</v>
      </c>
      <c r="L1342" s="1">
        <v>2</v>
      </c>
      <c r="M1342" s="1">
        <v>3</v>
      </c>
      <c r="N1342" s="1">
        <v>0</v>
      </c>
      <c r="O1342" s="1">
        <v>2</v>
      </c>
      <c r="P1342" s="1">
        <v>1</v>
      </c>
      <c r="Q1342" s="1">
        <v>2</v>
      </c>
      <c r="R1342" s="1">
        <v>0</v>
      </c>
      <c r="S1342" s="1">
        <v>2</v>
      </c>
      <c r="T1342" s="1">
        <v>3</v>
      </c>
      <c r="U1342" s="1">
        <v>2</v>
      </c>
      <c r="V1342" s="1">
        <v>8</v>
      </c>
    </row>
    <row r="1343" spans="1:22" x14ac:dyDescent="0.2">
      <c r="A1343" s="1" t="s">
        <v>1146</v>
      </c>
      <c r="B1343" s="1" t="s">
        <v>1349</v>
      </c>
      <c r="C1343" s="1">
        <f>SUM(C1344:C1353)</f>
        <v>3</v>
      </c>
      <c r="D1343" s="1">
        <f>SUM(D1344:D1353)</f>
        <v>5</v>
      </c>
      <c r="E1343" s="1">
        <f>SUM(E1344:E1353)</f>
        <v>3</v>
      </c>
      <c r="F1343" s="1">
        <f>SUM(F1344:F1353)</f>
        <v>1</v>
      </c>
      <c r="G1343" s="1">
        <f t="shared" ref="G1343:R1343" si="247">SUM(G1344:G1353)</f>
        <v>12</v>
      </c>
      <c r="H1343" s="1">
        <f t="shared" si="247"/>
        <v>1</v>
      </c>
      <c r="I1343" s="1">
        <f t="shared" si="247"/>
        <v>1</v>
      </c>
      <c r="J1343" s="1">
        <f t="shared" si="247"/>
        <v>2</v>
      </c>
      <c r="K1343" s="1">
        <f t="shared" si="247"/>
        <v>4</v>
      </c>
      <c r="L1343" s="1">
        <f t="shared" si="247"/>
        <v>6</v>
      </c>
      <c r="M1343" s="1">
        <f t="shared" si="247"/>
        <v>4</v>
      </c>
      <c r="N1343" s="1">
        <f t="shared" si="247"/>
        <v>6</v>
      </c>
      <c r="O1343" s="1">
        <f t="shared" si="247"/>
        <v>5</v>
      </c>
      <c r="P1343" s="1">
        <f t="shared" si="247"/>
        <v>5</v>
      </c>
      <c r="Q1343" s="1">
        <f t="shared" si="247"/>
        <v>5</v>
      </c>
      <c r="R1343" s="1">
        <f t="shared" si="247"/>
        <v>4</v>
      </c>
      <c r="S1343" s="1">
        <f>SUM(S1344:S1353)</f>
        <v>6</v>
      </c>
      <c r="T1343" s="1">
        <f>SUM(T1344:T1353)</f>
        <v>7</v>
      </c>
      <c r="U1343" s="1">
        <f>SUM(U1344:U1353)</f>
        <v>3</v>
      </c>
      <c r="V1343" s="1">
        <f>SUM(V1344:V1353)</f>
        <v>6</v>
      </c>
    </row>
    <row r="1344" spans="1:22" x14ac:dyDescent="0.2">
      <c r="A1344" s="1" t="s">
        <v>1146</v>
      </c>
      <c r="B1344" s="1" t="s">
        <v>1350</v>
      </c>
      <c r="C1344" s="1">
        <v>3</v>
      </c>
      <c r="D1344" s="1">
        <v>5</v>
      </c>
      <c r="E1344" s="1">
        <v>3</v>
      </c>
      <c r="F1344" s="1">
        <v>1</v>
      </c>
      <c r="G1344" s="1">
        <v>12</v>
      </c>
      <c r="H1344" s="1">
        <v>1</v>
      </c>
      <c r="I1344" s="1">
        <v>1</v>
      </c>
      <c r="J1344" s="1">
        <v>0</v>
      </c>
      <c r="K1344" s="1">
        <v>0</v>
      </c>
      <c r="L1344" s="1">
        <v>0</v>
      </c>
      <c r="M1344" s="1">
        <v>4</v>
      </c>
      <c r="N1344" s="1">
        <v>3</v>
      </c>
      <c r="O1344" s="1">
        <v>1</v>
      </c>
      <c r="P1344" s="1">
        <v>0</v>
      </c>
      <c r="Q1344" s="1">
        <v>0</v>
      </c>
      <c r="R1344" s="1">
        <v>0</v>
      </c>
      <c r="S1344" s="1">
        <v>0</v>
      </c>
      <c r="T1344" s="1">
        <v>0</v>
      </c>
      <c r="U1344" s="1">
        <v>0</v>
      </c>
      <c r="V1344" s="1">
        <v>1</v>
      </c>
    </row>
    <row r="1345" spans="1:22" x14ac:dyDescent="0.2">
      <c r="A1345" s="1" t="s">
        <v>1146</v>
      </c>
      <c r="B1345" s="1" t="s">
        <v>1351</v>
      </c>
      <c r="C1345" s="1">
        <v>0</v>
      </c>
      <c r="D1345" s="1">
        <v>0</v>
      </c>
      <c r="E1345" s="1">
        <v>0</v>
      </c>
      <c r="F1345" s="1">
        <v>0</v>
      </c>
      <c r="G1345" s="1">
        <v>0</v>
      </c>
      <c r="H1345" s="1">
        <v>0</v>
      </c>
      <c r="I1345" s="1">
        <v>0</v>
      </c>
      <c r="J1345" s="1">
        <v>0</v>
      </c>
      <c r="K1345" s="1">
        <v>0</v>
      </c>
      <c r="L1345" s="1">
        <v>0</v>
      </c>
      <c r="M1345" s="1">
        <v>0</v>
      </c>
      <c r="N1345" s="1">
        <v>0</v>
      </c>
      <c r="O1345" s="1">
        <v>0</v>
      </c>
      <c r="P1345" s="1">
        <v>1</v>
      </c>
      <c r="Q1345" s="1">
        <v>0</v>
      </c>
      <c r="R1345" s="1">
        <v>0</v>
      </c>
      <c r="S1345" s="1">
        <v>0</v>
      </c>
      <c r="T1345" s="1">
        <v>0</v>
      </c>
      <c r="U1345" s="1">
        <v>0</v>
      </c>
      <c r="V1345" s="1">
        <v>0</v>
      </c>
    </row>
    <row r="1346" spans="1:22" x14ac:dyDescent="0.2">
      <c r="A1346" s="1" t="s">
        <v>1146</v>
      </c>
      <c r="B1346" s="1" t="s">
        <v>1352</v>
      </c>
      <c r="C1346" s="1">
        <v>0</v>
      </c>
      <c r="D1346" s="1">
        <v>0</v>
      </c>
      <c r="E1346" s="1">
        <v>0</v>
      </c>
      <c r="F1346" s="1">
        <v>0</v>
      </c>
      <c r="G1346" s="1">
        <v>0</v>
      </c>
      <c r="H1346" s="1">
        <v>0</v>
      </c>
      <c r="I1346" s="1">
        <v>0</v>
      </c>
      <c r="J1346" s="1">
        <v>1</v>
      </c>
      <c r="K1346" s="1">
        <v>2</v>
      </c>
      <c r="L1346" s="1">
        <v>1</v>
      </c>
      <c r="M1346" s="1">
        <v>0</v>
      </c>
      <c r="N1346" s="1">
        <v>0</v>
      </c>
      <c r="O1346" s="1">
        <v>0</v>
      </c>
      <c r="P1346" s="1">
        <v>0</v>
      </c>
      <c r="Q1346" s="1">
        <v>1</v>
      </c>
      <c r="R1346" s="1">
        <v>0</v>
      </c>
      <c r="S1346" s="1">
        <v>0</v>
      </c>
      <c r="T1346" s="1">
        <v>0</v>
      </c>
      <c r="U1346" s="1">
        <v>0</v>
      </c>
      <c r="V1346" s="1">
        <v>0</v>
      </c>
    </row>
    <row r="1347" spans="1:22" x14ac:dyDescent="0.2">
      <c r="A1347" s="1" t="s">
        <v>1146</v>
      </c>
      <c r="B1347" s="1" t="s">
        <v>1353</v>
      </c>
      <c r="C1347" s="1">
        <v>0</v>
      </c>
      <c r="D1347" s="1">
        <v>0</v>
      </c>
      <c r="E1347" s="1">
        <v>0</v>
      </c>
      <c r="F1347" s="1">
        <v>0</v>
      </c>
      <c r="G1347" s="1">
        <v>0</v>
      </c>
      <c r="H1347" s="1">
        <v>0</v>
      </c>
      <c r="I1347" s="1">
        <v>0</v>
      </c>
      <c r="J1347" s="1">
        <v>0</v>
      </c>
      <c r="K1347" s="1">
        <v>0</v>
      </c>
      <c r="L1347" s="1">
        <v>1</v>
      </c>
      <c r="M1347" s="1">
        <v>0</v>
      </c>
      <c r="N1347" s="1">
        <v>0</v>
      </c>
      <c r="O1347" s="1">
        <v>0</v>
      </c>
      <c r="P1347" s="1">
        <v>0</v>
      </c>
      <c r="Q1347" s="1">
        <v>2</v>
      </c>
      <c r="R1347" s="1">
        <v>1</v>
      </c>
      <c r="S1347" s="1">
        <v>2</v>
      </c>
      <c r="T1347" s="1">
        <v>4</v>
      </c>
      <c r="U1347" s="1">
        <v>0</v>
      </c>
      <c r="V1347" s="1">
        <v>1</v>
      </c>
    </row>
    <row r="1348" spans="1:22" x14ac:dyDescent="0.2">
      <c r="A1348" s="1" t="s">
        <v>1146</v>
      </c>
      <c r="B1348" s="1" t="s">
        <v>1354</v>
      </c>
      <c r="C1348" s="1">
        <v>0</v>
      </c>
      <c r="D1348" s="1">
        <v>0</v>
      </c>
      <c r="E1348" s="1">
        <v>0</v>
      </c>
      <c r="F1348" s="1">
        <v>0</v>
      </c>
      <c r="G1348" s="1">
        <v>0</v>
      </c>
      <c r="H1348" s="1">
        <v>0</v>
      </c>
      <c r="I1348" s="1">
        <v>0</v>
      </c>
      <c r="J1348" s="1">
        <v>0</v>
      </c>
      <c r="K1348" s="1">
        <v>1</v>
      </c>
      <c r="L1348" s="1">
        <v>2</v>
      </c>
      <c r="M1348" s="1">
        <v>0</v>
      </c>
      <c r="N1348" s="1">
        <v>0</v>
      </c>
      <c r="O1348" s="1">
        <v>0</v>
      </c>
      <c r="P1348" s="1">
        <v>2</v>
      </c>
      <c r="Q1348" s="1">
        <v>0</v>
      </c>
      <c r="R1348" s="1">
        <v>1</v>
      </c>
      <c r="S1348" s="1">
        <v>0</v>
      </c>
      <c r="T1348" s="1">
        <v>0</v>
      </c>
      <c r="U1348" s="1">
        <v>0</v>
      </c>
      <c r="V1348" s="1">
        <v>0</v>
      </c>
    </row>
    <row r="1349" spans="1:22" x14ac:dyDescent="0.2">
      <c r="A1349" s="1" t="s">
        <v>1146</v>
      </c>
      <c r="B1349" s="1" t="s">
        <v>1355</v>
      </c>
      <c r="C1349" s="1">
        <v>0</v>
      </c>
      <c r="D1349" s="1">
        <v>0</v>
      </c>
      <c r="E1349" s="1">
        <v>0</v>
      </c>
      <c r="F1349" s="1">
        <v>0</v>
      </c>
      <c r="G1349" s="1">
        <v>0</v>
      </c>
      <c r="H1349" s="1">
        <v>0</v>
      </c>
      <c r="I1349" s="1">
        <v>0</v>
      </c>
      <c r="J1349" s="1">
        <v>0</v>
      </c>
      <c r="K1349" s="1">
        <v>0</v>
      </c>
      <c r="L1349" s="1">
        <v>1</v>
      </c>
      <c r="M1349" s="1">
        <v>0</v>
      </c>
      <c r="N1349" s="1">
        <v>0</v>
      </c>
      <c r="O1349" s="1">
        <v>0</v>
      </c>
      <c r="P1349" s="1">
        <v>0</v>
      </c>
      <c r="Q1349" s="1">
        <v>0</v>
      </c>
      <c r="R1349" s="1">
        <v>0</v>
      </c>
      <c r="S1349" s="1">
        <v>0</v>
      </c>
      <c r="T1349" s="1">
        <v>0</v>
      </c>
      <c r="U1349" s="1">
        <v>0</v>
      </c>
      <c r="V1349" s="1">
        <v>0</v>
      </c>
    </row>
    <row r="1350" spans="1:22" x14ac:dyDescent="0.2">
      <c r="A1350" s="1" t="s">
        <v>1146</v>
      </c>
      <c r="B1350" s="1" t="s">
        <v>1356</v>
      </c>
      <c r="C1350" s="1">
        <v>0</v>
      </c>
      <c r="D1350" s="1">
        <v>0</v>
      </c>
      <c r="E1350" s="1">
        <v>0</v>
      </c>
      <c r="F1350" s="1">
        <v>0</v>
      </c>
      <c r="G1350" s="1">
        <v>0</v>
      </c>
      <c r="H1350" s="1">
        <v>0</v>
      </c>
      <c r="I1350" s="1">
        <v>0</v>
      </c>
      <c r="J1350" s="1">
        <v>0</v>
      </c>
      <c r="K1350" s="1">
        <v>0</v>
      </c>
      <c r="L1350" s="1">
        <v>0</v>
      </c>
      <c r="M1350" s="1">
        <v>0</v>
      </c>
      <c r="N1350" s="1">
        <v>0</v>
      </c>
      <c r="O1350" s="1">
        <v>0</v>
      </c>
      <c r="P1350" s="1">
        <v>0</v>
      </c>
      <c r="Q1350" s="1">
        <v>0</v>
      </c>
      <c r="R1350" s="1">
        <v>0</v>
      </c>
      <c r="S1350" s="1">
        <v>2</v>
      </c>
      <c r="T1350" s="1">
        <v>1</v>
      </c>
      <c r="U1350" s="1">
        <v>0</v>
      </c>
      <c r="V1350" s="1">
        <v>0</v>
      </c>
    </row>
    <row r="1351" spans="1:22" x14ac:dyDescent="0.2">
      <c r="A1351" s="1" t="s">
        <v>1146</v>
      </c>
      <c r="B1351" s="1" t="s">
        <v>1357</v>
      </c>
      <c r="C1351" s="1">
        <v>0</v>
      </c>
      <c r="D1351" s="1">
        <v>0</v>
      </c>
      <c r="E1351" s="1">
        <v>0</v>
      </c>
      <c r="F1351" s="1">
        <v>0</v>
      </c>
      <c r="G1351" s="1">
        <v>0</v>
      </c>
      <c r="H1351" s="1">
        <v>0</v>
      </c>
      <c r="I1351" s="1">
        <v>0</v>
      </c>
      <c r="J1351" s="1">
        <v>0</v>
      </c>
      <c r="K1351" s="1">
        <v>0</v>
      </c>
      <c r="L1351" s="1">
        <v>0</v>
      </c>
      <c r="M1351" s="1">
        <v>0</v>
      </c>
      <c r="N1351" s="1">
        <v>0</v>
      </c>
      <c r="O1351" s="1">
        <v>0</v>
      </c>
      <c r="P1351" s="1">
        <v>0</v>
      </c>
      <c r="Q1351" s="1">
        <v>0</v>
      </c>
      <c r="R1351" s="1">
        <v>2</v>
      </c>
      <c r="S1351" s="1">
        <v>1</v>
      </c>
      <c r="T1351" s="1">
        <v>2</v>
      </c>
      <c r="U1351" s="1">
        <v>3</v>
      </c>
      <c r="V1351" s="1">
        <v>4</v>
      </c>
    </row>
    <row r="1352" spans="1:22" x14ac:dyDescent="0.2">
      <c r="A1352" s="1" t="s">
        <v>1146</v>
      </c>
      <c r="B1352" s="1" t="s">
        <v>1358</v>
      </c>
      <c r="C1352" s="1">
        <v>0</v>
      </c>
      <c r="D1352" s="1">
        <v>0</v>
      </c>
      <c r="E1352" s="1">
        <v>0</v>
      </c>
      <c r="F1352" s="1">
        <v>0</v>
      </c>
      <c r="G1352" s="1">
        <v>0</v>
      </c>
      <c r="H1352" s="1">
        <v>0</v>
      </c>
      <c r="I1352" s="1">
        <v>0</v>
      </c>
      <c r="J1352" s="1">
        <v>0</v>
      </c>
      <c r="K1352" s="1">
        <v>0</v>
      </c>
      <c r="L1352" s="1">
        <v>0</v>
      </c>
      <c r="M1352" s="1">
        <v>0</v>
      </c>
      <c r="N1352" s="1">
        <v>0</v>
      </c>
      <c r="O1352" s="1">
        <v>3</v>
      </c>
      <c r="P1352" s="1">
        <v>0</v>
      </c>
      <c r="Q1352" s="1">
        <v>0</v>
      </c>
      <c r="R1352" s="1">
        <v>0</v>
      </c>
      <c r="S1352" s="1">
        <v>1</v>
      </c>
      <c r="T1352" s="1">
        <v>0</v>
      </c>
      <c r="U1352" s="1">
        <v>0</v>
      </c>
      <c r="V1352" s="1">
        <v>0</v>
      </c>
    </row>
    <row r="1353" spans="1:22" x14ac:dyDescent="0.2">
      <c r="A1353" s="1" t="s">
        <v>1146</v>
      </c>
      <c r="B1353" s="1" t="s">
        <v>1359</v>
      </c>
      <c r="C1353" s="1">
        <v>0</v>
      </c>
      <c r="D1353" s="1">
        <v>0</v>
      </c>
      <c r="E1353" s="1">
        <v>0</v>
      </c>
      <c r="F1353" s="1">
        <v>0</v>
      </c>
      <c r="G1353" s="1">
        <v>0</v>
      </c>
      <c r="H1353" s="1">
        <v>0</v>
      </c>
      <c r="I1353" s="1">
        <v>0</v>
      </c>
      <c r="J1353" s="1">
        <v>1</v>
      </c>
      <c r="K1353" s="1">
        <v>1</v>
      </c>
      <c r="L1353" s="1">
        <v>1</v>
      </c>
      <c r="M1353" s="1">
        <v>0</v>
      </c>
      <c r="N1353" s="1">
        <v>3</v>
      </c>
      <c r="O1353" s="1">
        <v>1</v>
      </c>
      <c r="P1353" s="1">
        <v>2</v>
      </c>
      <c r="Q1353" s="1">
        <v>2</v>
      </c>
      <c r="R1353" s="1">
        <v>0</v>
      </c>
      <c r="S1353" s="1">
        <v>0</v>
      </c>
      <c r="T1353" s="1">
        <v>0</v>
      </c>
      <c r="U1353" s="1">
        <v>0</v>
      </c>
      <c r="V1353" s="1">
        <v>0</v>
      </c>
    </row>
    <row r="1354" spans="1:22" x14ac:dyDescent="0.2">
      <c r="A1354" s="1" t="s">
        <v>1146</v>
      </c>
      <c r="B1354" s="1" t="s">
        <v>1360</v>
      </c>
      <c r="C1354" s="1">
        <f>SUM(C1355:C1367)</f>
        <v>3679</v>
      </c>
      <c r="D1354" s="1">
        <f>SUM(D1355:D1367)</f>
        <v>4849</v>
      </c>
      <c r="E1354" s="1">
        <f>SUM(E1355:E1367)</f>
        <v>6093</v>
      </c>
      <c r="F1354" s="1">
        <f>SUM(F1355:F1367)</f>
        <v>6324</v>
      </c>
      <c r="G1354" s="1">
        <f t="shared" ref="G1354:T1354" si="248">SUM(G1355:G1367)</f>
        <v>6983</v>
      </c>
      <c r="H1354" s="1">
        <f t="shared" si="248"/>
        <v>6695</v>
      </c>
      <c r="I1354" s="1">
        <f t="shared" si="248"/>
        <v>6317</v>
      </c>
      <c r="J1354" s="1">
        <f t="shared" si="248"/>
        <v>6531</v>
      </c>
      <c r="K1354" s="1">
        <f t="shared" si="248"/>
        <v>3645</v>
      </c>
      <c r="L1354" s="1">
        <f t="shared" si="248"/>
        <v>4119</v>
      </c>
      <c r="M1354" s="1">
        <f t="shared" si="248"/>
        <v>4296</v>
      </c>
      <c r="N1354" s="1">
        <f t="shared" si="248"/>
        <v>4284</v>
      </c>
      <c r="O1354" s="1">
        <f t="shared" si="248"/>
        <v>4948</v>
      </c>
      <c r="P1354" s="1">
        <f t="shared" si="248"/>
        <v>4709</v>
      </c>
      <c r="Q1354" s="1">
        <f t="shared" si="248"/>
        <v>5240</v>
      </c>
      <c r="R1354" s="1">
        <f t="shared" si="248"/>
        <v>5143</v>
      </c>
      <c r="S1354" s="1">
        <f t="shared" si="248"/>
        <v>5364</v>
      </c>
      <c r="T1354" s="1">
        <f t="shared" si="248"/>
        <v>5733</v>
      </c>
      <c r="U1354" s="1">
        <f>SUM(U1355:U1367)</f>
        <v>6100</v>
      </c>
      <c r="V1354" s="1">
        <f>SUM(V1355:V1367)</f>
        <v>6381</v>
      </c>
    </row>
    <row r="1355" spans="1:22" x14ac:dyDescent="0.2">
      <c r="A1355" s="1" t="s">
        <v>1146</v>
      </c>
      <c r="B1355" s="1" t="s">
        <v>1361</v>
      </c>
      <c r="C1355" s="1">
        <v>0</v>
      </c>
      <c r="D1355" s="1">
        <v>0</v>
      </c>
      <c r="E1355" s="1">
        <v>0</v>
      </c>
      <c r="F1355" s="1">
        <v>0</v>
      </c>
      <c r="G1355" s="1">
        <v>0</v>
      </c>
      <c r="H1355" s="1">
        <v>0</v>
      </c>
      <c r="I1355" s="1">
        <v>0</v>
      </c>
      <c r="J1355" s="1">
        <v>0</v>
      </c>
      <c r="K1355" s="1">
        <v>170</v>
      </c>
      <c r="L1355" s="1">
        <v>229</v>
      </c>
      <c r="M1355" s="1">
        <v>277</v>
      </c>
      <c r="N1355" s="1">
        <v>426</v>
      </c>
      <c r="O1355" s="1">
        <v>515</v>
      </c>
      <c r="P1355" s="1">
        <v>469</v>
      </c>
      <c r="Q1355" s="1">
        <v>517</v>
      </c>
      <c r="R1355" s="1">
        <v>520</v>
      </c>
      <c r="S1355" s="1">
        <v>499</v>
      </c>
      <c r="T1355" s="1">
        <v>519</v>
      </c>
      <c r="U1355" s="1">
        <v>534</v>
      </c>
      <c r="V1355" s="1">
        <v>617</v>
      </c>
    </row>
    <row r="1356" spans="1:22" x14ac:dyDescent="0.2">
      <c r="A1356" s="1" t="s">
        <v>1146</v>
      </c>
      <c r="B1356" s="1" t="s">
        <v>1362</v>
      </c>
      <c r="C1356" s="1">
        <v>3</v>
      </c>
      <c r="D1356" s="1">
        <v>4</v>
      </c>
      <c r="E1356" s="1">
        <v>13</v>
      </c>
      <c r="F1356" s="1">
        <v>11</v>
      </c>
      <c r="G1356" s="1">
        <v>4</v>
      </c>
      <c r="H1356" s="1">
        <v>7</v>
      </c>
      <c r="I1356" s="1">
        <v>4</v>
      </c>
      <c r="J1356" s="1">
        <v>6</v>
      </c>
      <c r="K1356" s="1">
        <v>193</v>
      </c>
      <c r="L1356" s="1">
        <v>345</v>
      </c>
      <c r="M1356" s="1">
        <v>187</v>
      </c>
      <c r="N1356" s="1">
        <v>96</v>
      </c>
      <c r="O1356" s="1">
        <v>62</v>
      </c>
      <c r="P1356" s="1">
        <v>54</v>
      </c>
      <c r="Q1356" s="1">
        <v>45</v>
      </c>
      <c r="R1356" s="1">
        <v>33</v>
      </c>
      <c r="S1356" s="1">
        <v>25</v>
      </c>
      <c r="T1356" s="1">
        <v>19</v>
      </c>
      <c r="U1356" s="1">
        <v>11</v>
      </c>
      <c r="V1356" s="1">
        <v>8</v>
      </c>
    </row>
    <row r="1357" spans="1:22" x14ac:dyDescent="0.2">
      <c r="A1357" s="1" t="s">
        <v>1146</v>
      </c>
      <c r="B1357" s="1" t="s">
        <v>1363</v>
      </c>
      <c r="C1357" s="1">
        <v>2905</v>
      </c>
      <c r="D1357" s="1">
        <v>3923</v>
      </c>
      <c r="E1357" s="1">
        <v>4881</v>
      </c>
      <c r="F1357" s="1">
        <v>5077</v>
      </c>
      <c r="G1357" s="1">
        <v>5658</v>
      </c>
      <c r="H1357" s="1">
        <v>5599</v>
      </c>
      <c r="I1357" s="1">
        <v>5347</v>
      </c>
      <c r="J1357" s="1">
        <v>5478</v>
      </c>
      <c r="K1357" s="1">
        <v>2728</v>
      </c>
      <c r="L1357" s="1">
        <v>2589</v>
      </c>
      <c r="M1357" s="1">
        <v>2407</v>
      </c>
      <c r="N1357" s="1">
        <v>2281</v>
      </c>
      <c r="O1357" s="1">
        <v>3164</v>
      </c>
      <c r="P1357" s="1">
        <v>3017</v>
      </c>
      <c r="Q1357" s="1">
        <v>3393</v>
      </c>
      <c r="R1357" s="1">
        <v>3413</v>
      </c>
      <c r="S1357" s="1">
        <v>3645</v>
      </c>
      <c r="T1357" s="1">
        <v>3801</v>
      </c>
      <c r="U1357" s="1">
        <v>3937</v>
      </c>
      <c r="V1357" s="1">
        <v>4127</v>
      </c>
    </row>
    <row r="1358" spans="1:22" x14ac:dyDescent="0.2">
      <c r="A1358" s="1" t="s">
        <v>1146</v>
      </c>
      <c r="B1358" s="1" t="s">
        <v>1364</v>
      </c>
      <c r="C1358" s="1">
        <v>97</v>
      </c>
      <c r="D1358" s="1">
        <v>121</v>
      </c>
      <c r="E1358" s="1">
        <v>119</v>
      </c>
      <c r="F1358" s="1">
        <v>107</v>
      </c>
      <c r="G1358" s="1">
        <v>58</v>
      </c>
      <c r="H1358" s="1">
        <v>108</v>
      </c>
      <c r="I1358" s="1">
        <v>90</v>
      </c>
      <c r="J1358" s="1">
        <v>58</v>
      </c>
      <c r="K1358" s="1">
        <v>71</v>
      </c>
      <c r="L1358" s="1">
        <v>35</v>
      </c>
      <c r="M1358" s="1">
        <v>68</v>
      </c>
      <c r="N1358" s="1">
        <v>67</v>
      </c>
      <c r="O1358" s="1">
        <v>46</v>
      </c>
      <c r="P1358" s="1">
        <v>28</v>
      </c>
      <c r="Q1358" s="1">
        <v>35</v>
      </c>
      <c r="R1358" s="1">
        <v>72</v>
      </c>
      <c r="S1358" s="1">
        <v>37</v>
      </c>
      <c r="T1358" s="1">
        <v>55</v>
      </c>
      <c r="U1358" s="1">
        <v>37</v>
      </c>
      <c r="V1358" s="1">
        <v>86</v>
      </c>
    </row>
    <row r="1359" spans="1:22" x14ac:dyDescent="0.2">
      <c r="A1359" s="1" t="s">
        <v>1146</v>
      </c>
      <c r="B1359" s="1" t="s">
        <v>1365</v>
      </c>
      <c r="C1359" s="1">
        <v>0</v>
      </c>
      <c r="D1359" s="1">
        <v>0</v>
      </c>
      <c r="E1359" s="1">
        <v>2</v>
      </c>
      <c r="F1359" s="1">
        <v>0</v>
      </c>
      <c r="G1359" s="1">
        <v>0</v>
      </c>
      <c r="H1359" s="1">
        <v>0</v>
      </c>
      <c r="I1359" s="1">
        <v>0</v>
      </c>
      <c r="J1359" s="1">
        <v>0</v>
      </c>
      <c r="K1359" s="1">
        <v>0</v>
      </c>
      <c r="L1359" s="1">
        <v>1</v>
      </c>
      <c r="M1359" s="1">
        <v>2</v>
      </c>
      <c r="N1359" s="1">
        <v>1</v>
      </c>
      <c r="O1359" s="1">
        <v>2</v>
      </c>
      <c r="P1359" s="1">
        <v>0</v>
      </c>
      <c r="Q1359" s="1">
        <v>1</v>
      </c>
      <c r="R1359" s="1">
        <v>0</v>
      </c>
      <c r="S1359" s="1">
        <v>2</v>
      </c>
      <c r="T1359" s="1">
        <v>0</v>
      </c>
      <c r="U1359" s="1">
        <v>0</v>
      </c>
      <c r="V1359" s="1">
        <v>0</v>
      </c>
    </row>
    <row r="1360" spans="1:22" x14ac:dyDescent="0.2">
      <c r="A1360" s="1" t="s">
        <v>1146</v>
      </c>
      <c r="B1360" s="1" t="s">
        <v>1366</v>
      </c>
      <c r="C1360" s="1">
        <v>0</v>
      </c>
      <c r="D1360" s="1">
        <v>5</v>
      </c>
      <c r="E1360" s="1">
        <v>3</v>
      </c>
      <c r="F1360" s="1">
        <v>0</v>
      </c>
      <c r="G1360" s="1">
        <v>4</v>
      </c>
      <c r="H1360" s="1">
        <v>0</v>
      </c>
      <c r="I1360" s="1">
        <v>2</v>
      </c>
      <c r="J1360" s="1">
        <v>1</v>
      </c>
      <c r="K1360" s="1">
        <v>2</v>
      </c>
      <c r="L1360" s="1">
        <v>4</v>
      </c>
      <c r="M1360" s="1">
        <v>3</v>
      </c>
      <c r="N1360" s="1">
        <v>3</v>
      </c>
      <c r="O1360" s="1">
        <v>4</v>
      </c>
      <c r="P1360" s="1">
        <v>6</v>
      </c>
      <c r="Q1360" s="1">
        <v>2</v>
      </c>
      <c r="R1360" s="1">
        <v>1</v>
      </c>
      <c r="S1360" s="1">
        <v>4</v>
      </c>
      <c r="T1360" s="1">
        <v>2</v>
      </c>
      <c r="U1360" s="1">
        <v>2</v>
      </c>
      <c r="V1360" s="1">
        <v>1</v>
      </c>
    </row>
    <row r="1361" spans="1:22" x14ac:dyDescent="0.2">
      <c r="A1361" s="1" t="s">
        <v>1146</v>
      </c>
      <c r="B1361" s="1" t="s">
        <v>1367</v>
      </c>
      <c r="C1361" s="1">
        <v>40</v>
      </c>
      <c r="D1361" s="1">
        <v>50</v>
      </c>
      <c r="E1361" s="1">
        <v>34</v>
      </c>
      <c r="F1361" s="1">
        <v>43</v>
      </c>
      <c r="G1361" s="1">
        <v>45</v>
      </c>
      <c r="H1361" s="1">
        <v>48</v>
      </c>
      <c r="I1361" s="1">
        <v>39</v>
      </c>
      <c r="J1361" s="1">
        <v>36</v>
      </c>
      <c r="K1361" s="1">
        <v>28</v>
      </c>
      <c r="L1361" s="1">
        <v>40</v>
      </c>
      <c r="M1361" s="1">
        <v>32</v>
      </c>
      <c r="N1361" s="1">
        <v>26</v>
      </c>
      <c r="O1361" s="1">
        <v>24</v>
      </c>
      <c r="P1361" s="1">
        <v>33</v>
      </c>
      <c r="Q1361" s="1">
        <v>33</v>
      </c>
      <c r="R1361" s="1">
        <v>27</v>
      </c>
      <c r="S1361" s="1">
        <v>31</v>
      </c>
      <c r="T1361" s="1">
        <v>29</v>
      </c>
      <c r="U1361" s="1">
        <v>31</v>
      </c>
      <c r="V1361" s="1">
        <v>18</v>
      </c>
    </row>
    <row r="1362" spans="1:22" x14ac:dyDescent="0.2">
      <c r="A1362" s="1" t="s">
        <v>1146</v>
      </c>
      <c r="B1362" s="1" t="s">
        <v>1368</v>
      </c>
      <c r="C1362" s="1">
        <v>267</v>
      </c>
      <c r="D1362" s="1">
        <v>357</v>
      </c>
      <c r="E1362" s="1">
        <v>481</v>
      </c>
      <c r="F1362" s="1">
        <v>562</v>
      </c>
      <c r="G1362" s="1">
        <v>739</v>
      </c>
      <c r="H1362" s="1">
        <v>569</v>
      </c>
      <c r="I1362" s="1">
        <v>547</v>
      </c>
      <c r="J1362" s="1">
        <v>689</v>
      </c>
      <c r="K1362" s="1">
        <v>212</v>
      </c>
      <c r="L1362" s="1">
        <v>502</v>
      </c>
      <c r="M1362" s="1">
        <v>917</v>
      </c>
      <c r="N1362" s="1">
        <v>958</v>
      </c>
      <c r="O1362" s="1">
        <v>689</v>
      </c>
      <c r="P1362" s="1">
        <v>940</v>
      </c>
      <c r="Q1362" s="1">
        <v>1033</v>
      </c>
      <c r="R1362" s="1">
        <v>848</v>
      </c>
      <c r="S1362" s="1">
        <v>944</v>
      </c>
      <c r="T1362" s="1">
        <v>1043</v>
      </c>
      <c r="U1362" s="1">
        <v>1015</v>
      </c>
      <c r="V1362" s="1">
        <v>1073</v>
      </c>
    </row>
    <row r="1363" spans="1:22" x14ac:dyDescent="0.2">
      <c r="A1363" s="1" t="s">
        <v>1146</v>
      </c>
      <c r="B1363" s="1" t="s">
        <v>1369</v>
      </c>
      <c r="C1363" s="1">
        <v>209</v>
      </c>
      <c r="D1363" s="1">
        <v>205</v>
      </c>
      <c r="E1363" s="1">
        <v>345</v>
      </c>
      <c r="F1363" s="1">
        <v>247</v>
      </c>
      <c r="G1363" s="1">
        <v>198</v>
      </c>
      <c r="H1363" s="1">
        <v>180</v>
      </c>
      <c r="I1363" s="1">
        <v>148</v>
      </c>
      <c r="J1363" s="1">
        <v>125</v>
      </c>
      <c r="K1363" s="1">
        <v>109</v>
      </c>
      <c r="L1363" s="1">
        <v>178</v>
      </c>
      <c r="M1363" s="1">
        <v>255</v>
      </c>
      <c r="N1363" s="1">
        <v>282</v>
      </c>
      <c r="O1363" s="1">
        <v>341</v>
      </c>
      <c r="P1363" s="1">
        <v>68</v>
      </c>
      <c r="Q1363" s="1">
        <v>88</v>
      </c>
      <c r="R1363" s="1">
        <v>123</v>
      </c>
      <c r="S1363" s="1">
        <v>23</v>
      </c>
      <c r="T1363" s="1">
        <v>122</v>
      </c>
      <c r="U1363" s="1">
        <v>344</v>
      </c>
      <c r="V1363" s="1">
        <v>322</v>
      </c>
    </row>
    <row r="1364" spans="1:22" x14ac:dyDescent="0.2">
      <c r="A1364" s="1" t="s">
        <v>1146</v>
      </c>
      <c r="B1364" s="1" t="s">
        <v>1370</v>
      </c>
      <c r="C1364" s="1">
        <v>0</v>
      </c>
      <c r="D1364" s="1">
        <v>0</v>
      </c>
      <c r="E1364" s="1">
        <v>0</v>
      </c>
      <c r="F1364" s="1">
        <v>0</v>
      </c>
      <c r="G1364" s="1">
        <v>0</v>
      </c>
      <c r="H1364" s="1">
        <v>0</v>
      </c>
      <c r="I1364" s="1">
        <v>0</v>
      </c>
      <c r="J1364" s="1">
        <v>0</v>
      </c>
      <c r="K1364" s="1">
        <v>0</v>
      </c>
      <c r="L1364" s="1">
        <v>0</v>
      </c>
      <c r="M1364" s="1">
        <v>0</v>
      </c>
      <c r="N1364" s="1">
        <v>0</v>
      </c>
      <c r="O1364" s="1">
        <v>0</v>
      </c>
      <c r="P1364" s="1">
        <v>0</v>
      </c>
      <c r="Q1364" s="1">
        <v>2</v>
      </c>
      <c r="R1364" s="1">
        <v>7</v>
      </c>
      <c r="S1364" s="1">
        <v>14</v>
      </c>
      <c r="T1364" s="1">
        <v>47</v>
      </c>
      <c r="U1364" s="1">
        <v>84</v>
      </c>
      <c r="V1364" s="1">
        <v>41</v>
      </c>
    </row>
    <row r="1365" spans="1:22" x14ac:dyDescent="0.2">
      <c r="A1365" s="1" t="s">
        <v>1146</v>
      </c>
      <c r="B1365" s="1" t="s">
        <v>1371</v>
      </c>
      <c r="C1365" s="1">
        <v>21</v>
      </c>
      <c r="D1365" s="1">
        <v>21</v>
      </c>
      <c r="E1365" s="1">
        <v>66</v>
      </c>
      <c r="F1365" s="1">
        <v>25</v>
      </c>
      <c r="G1365" s="1">
        <v>16</v>
      </c>
      <c r="H1365" s="1">
        <v>12</v>
      </c>
      <c r="I1365" s="1">
        <v>17</v>
      </c>
      <c r="J1365" s="1">
        <v>15</v>
      </c>
      <c r="K1365" s="1">
        <v>20</v>
      </c>
      <c r="L1365" s="1">
        <v>19</v>
      </c>
      <c r="M1365" s="1">
        <v>18</v>
      </c>
      <c r="N1365" s="1">
        <v>14</v>
      </c>
      <c r="O1365" s="1">
        <v>14</v>
      </c>
      <c r="P1365" s="1">
        <v>14</v>
      </c>
      <c r="Q1365" s="1">
        <v>16</v>
      </c>
      <c r="R1365" s="1">
        <v>7</v>
      </c>
      <c r="S1365" s="1">
        <v>21</v>
      </c>
      <c r="T1365" s="1">
        <v>15</v>
      </c>
      <c r="U1365" s="1">
        <v>7</v>
      </c>
      <c r="V1365" s="1">
        <v>6</v>
      </c>
    </row>
    <row r="1366" spans="1:22" x14ac:dyDescent="0.2">
      <c r="A1366" s="1" t="s">
        <v>1146</v>
      </c>
      <c r="B1366" s="1" t="s">
        <v>1372</v>
      </c>
      <c r="C1366" s="1">
        <v>8</v>
      </c>
      <c r="D1366" s="1">
        <v>5</v>
      </c>
      <c r="E1366" s="1">
        <v>8</v>
      </c>
      <c r="F1366" s="1">
        <v>10</v>
      </c>
      <c r="G1366" s="1">
        <v>5</v>
      </c>
      <c r="H1366" s="1">
        <v>8</v>
      </c>
      <c r="I1366" s="1">
        <v>12</v>
      </c>
      <c r="J1366" s="1">
        <v>18</v>
      </c>
      <c r="K1366" s="1">
        <v>11</v>
      </c>
      <c r="L1366" s="1">
        <v>8</v>
      </c>
      <c r="M1366" s="1">
        <v>9</v>
      </c>
      <c r="N1366" s="1">
        <v>7</v>
      </c>
      <c r="O1366" s="1">
        <v>14</v>
      </c>
      <c r="P1366" s="1">
        <v>9</v>
      </c>
      <c r="Q1366" s="1">
        <v>8</v>
      </c>
      <c r="R1366" s="1">
        <v>12</v>
      </c>
      <c r="S1366" s="1">
        <v>4</v>
      </c>
      <c r="T1366" s="1">
        <v>5</v>
      </c>
      <c r="U1366" s="1">
        <v>10</v>
      </c>
      <c r="V1366" s="1">
        <v>7</v>
      </c>
    </row>
    <row r="1367" spans="1:22" x14ac:dyDescent="0.2">
      <c r="A1367" s="1" t="s">
        <v>1146</v>
      </c>
      <c r="B1367" s="1" t="s">
        <v>1373</v>
      </c>
      <c r="C1367" s="1">
        <v>129</v>
      </c>
      <c r="D1367" s="1">
        <v>158</v>
      </c>
      <c r="E1367" s="1">
        <v>141</v>
      </c>
      <c r="F1367" s="1">
        <v>242</v>
      </c>
      <c r="G1367" s="1">
        <v>256</v>
      </c>
      <c r="H1367" s="1">
        <v>164</v>
      </c>
      <c r="I1367" s="1">
        <v>111</v>
      </c>
      <c r="J1367" s="1">
        <v>105</v>
      </c>
      <c r="K1367" s="1">
        <v>101</v>
      </c>
      <c r="L1367" s="1">
        <v>169</v>
      </c>
      <c r="M1367" s="1">
        <v>121</v>
      </c>
      <c r="N1367" s="1">
        <v>123</v>
      </c>
      <c r="O1367" s="1">
        <v>73</v>
      </c>
      <c r="P1367" s="1">
        <v>71</v>
      </c>
      <c r="Q1367" s="1">
        <v>67</v>
      </c>
      <c r="R1367" s="1">
        <v>80</v>
      </c>
      <c r="S1367" s="1">
        <v>115</v>
      </c>
      <c r="T1367" s="1">
        <v>76</v>
      </c>
      <c r="U1367" s="1">
        <v>88</v>
      </c>
      <c r="V1367" s="1">
        <v>75</v>
      </c>
    </row>
    <row r="1368" spans="1:22" x14ac:dyDescent="0.2">
      <c r="A1368" s="1" t="s">
        <v>1146</v>
      </c>
      <c r="B1368" s="1" t="s">
        <v>1374</v>
      </c>
      <c r="C1368" s="1">
        <f>SUM(C1369:C1385)</f>
        <v>1078</v>
      </c>
      <c r="D1368" s="1">
        <f>SUM(D1369:D1385)</f>
        <v>1023</v>
      </c>
      <c r="E1368" s="1">
        <f>SUM(E1369:E1385)</f>
        <v>1050</v>
      </c>
      <c r="F1368" s="1">
        <f>SUM(F1369:F1385)</f>
        <v>1045</v>
      </c>
      <c r="G1368" s="1">
        <f t="shared" ref="G1368:T1368" si="249">SUM(G1369:G1385)</f>
        <v>1203</v>
      </c>
      <c r="H1368" s="1">
        <f t="shared" si="249"/>
        <v>1144</v>
      </c>
      <c r="I1368" s="1">
        <f t="shared" si="249"/>
        <v>966</v>
      </c>
      <c r="J1368" s="1">
        <f t="shared" si="249"/>
        <v>936</v>
      </c>
      <c r="K1368" s="1">
        <f t="shared" si="249"/>
        <v>1064</v>
      </c>
      <c r="L1368" s="1">
        <f t="shared" si="249"/>
        <v>1402</v>
      </c>
      <c r="M1368" s="1">
        <f t="shared" si="249"/>
        <v>1337</v>
      </c>
      <c r="N1368" s="1">
        <f t="shared" si="249"/>
        <v>1710</v>
      </c>
      <c r="O1368" s="1">
        <f t="shared" si="249"/>
        <v>2353</v>
      </c>
      <c r="P1368" s="1">
        <f t="shared" si="249"/>
        <v>2972</v>
      </c>
      <c r="Q1368" s="1">
        <f t="shared" si="249"/>
        <v>3225</v>
      </c>
      <c r="R1368" s="1">
        <f t="shared" si="249"/>
        <v>3288</v>
      </c>
      <c r="S1368" s="1">
        <f t="shared" si="249"/>
        <v>3482</v>
      </c>
      <c r="T1368" s="1">
        <f t="shared" si="249"/>
        <v>3542</v>
      </c>
      <c r="U1368" s="1">
        <f>SUM(U1369:U1385)</f>
        <v>3265</v>
      </c>
      <c r="V1368" s="1">
        <f>SUM(V1369:V1385)</f>
        <v>3624</v>
      </c>
    </row>
    <row r="1369" spans="1:22" x14ac:dyDescent="0.2">
      <c r="A1369" s="1" t="s">
        <v>1146</v>
      </c>
      <c r="B1369" s="1" t="s">
        <v>1375</v>
      </c>
      <c r="C1369" s="1">
        <v>9</v>
      </c>
      <c r="D1369" s="1">
        <v>0</v>
      </c>
      <c r="E1369" s="1">
        <v>0</v>
      </c>
      <c r="F1369" s="1">
        <v>0</v>
      </c>
      <c r="G1369" s="1">
        <v>1</v>
      </c>
      <c r="H1369" s="1">
        <v>0</v>
      </c>
      <c r="I1369" s="1">
        <v>0</v>
      </c>
      <c r="J1369" s="1">
        <v>0</v>
      </c>
      <c r="K1369" s="1">
        <v>2</v>
      </c>
      <c r="L1369" s="1">
        <v>0</v>
      </c>
      <c r="M1369" s="1">
        <v>0</v>
      </c>
      <c r="N1369" s="1">
        <v>1</v>
      </c>
      <c r="O1369" s="1">
        <v>0</v>
      </c>
      <c r="P1369" s="1">
        <v>0</v>
      </c>
      <c r="Q1369" s="1">
        <v>0</v>
      </c>
      <c r="R1369" s="1">
        <v>1</v>
      </c>
      <c r="S1369" s="1">
        <v>0</v>
      </c>
      <c r="T1369" s="1">
        <v>0</v>
      </c>
      <c r="U1369" s="1">
        <v>0</v>
      </c>
      <c r="V1369" s="1">
        <v>3</v>
      </c>
    </row>
    <row r="1370" spans="1:22" x14ac:dyDescent="0.2">
      <c r="A1370" s="1" t="s">
        <v>1146</v>
      </c>
      <c r="B1370" s="1" t="s">
        <v>1376</v>
      </c>
      <c r="C1370" s="1">
        <v>85</v>
      </c>
      <c r="D1370" s="1">
        <v>120</v>
      </c>
      <c r="E1370" s="1">
        <v>109</v>
      </c>
      <c r="F1370" s="1">
        <v>88</v>
      </c>
      <c r="G1370" s="1">
        <v>101</v>
      </c>
      <c r="H1370" s="1">
        <v>109</v>
      </c>
      <c r="I1370" s="1">
        <v>82</v>
      </c>
      <c r="J1370" s="1">
        <v>77</v>
      </c>
      <c r="K1370" s="1">
        <v>57</v>
      </c>
      <c r="L1370" s="1">
        <v>73</v>
      </c>
      <c r="M1370" s="1">
        <v>60</v>
      </c>
      <c r="N1370" s="1">
        <v>79</v>
      </c>
      <c r="O1370" s="1">
        <v>74</v>
      </c>
      <c r="P1370" s="1">
        <v>74</v>
      </c>
      <c r="Q1370" s="1">
        <v>83</v>
      </c>
      <c r="R1370" s="1">
        <v>61</v>
      </c>
      <c r="S1370" s="1">
        <v>78</v>
      </c>
      <c r="T1370" s="1">
        <v>56</v>
      </c>
      <c r="U1370" s="1">
        <v>49</v>
      </c>
      <c r="V1370" s="1">
        <v>54</v>
      </c>
    </row>
    <row r="1371" spans="1:22" x14ac:dyDescent="0.2">
      <c r="A1371" s="1" t="s">
        <v>1146</v>
      </c>
      <c r="B1371" s="1" t="s">
        <v>1377</v>
      </c>
      <c r="C1371" s="1">
        <v>0</v>
      </c>
      <c r="D1371" s="1">
        <v>0</v>
      </c>
      <c r="E1371" s="1">
        <v>0</v>
      </c>
      <c r="F1371" s="1">
        <v>0</v>
      </c>
      <c r="G1371" s="1">
        <v>0</v>
      </c>
      <c r="H1371" s="1">
        <v>0</v>
      </c>
      <c r="I1371" s="1">
        <v>0</v>
      </c>
      <c r="J1371" s="1">
        <v>0</v>
      </c>
      <c r="K1371" s="1">
        <v>0</v>
      </c>
      <c r="L1371" s="1">
        <v>0</v>
      </c>
      <c r="M1371" s="1">
        <v>0</v>
      </c>
      <c r="N1371" s="1">
        <v>0</v>
      </c>
      <c r="O1371" s="1">
        <v>0</v>
      </c>
      <c r="P1371" s="1">
        <v>0</v>
      </c>
      <c r="Q1371" s="1">
        <v>0</v>
      </c>
      <c r="R1371" s="1">
        <v>0</v>
      </c>
      <c r="S1371" s="1">
        <v>0</v>
      </c>
      <c r="T1371" s="1">
        <v>0</v>
      </c>
      <c r="U1371" s="1">
        <v>0</v>
      </c>
      <c r="V1371" s="1">
        <v>0</v>
      </c>
    </row>
    <row r="1372" spans="1:22" x14ac:dyDescent="0.2">
      <c r="A1372" s="1" t="s">
        <v>1146</v>
      </c>
      <c r="B1372" s="1" t="s">
        <v>1378</v>
      </c>
      <c r="C1372" s="1">
        <v>219</v>
      </c>
      <c r="D1372" s="1">
        <v>236</v>
      </c>
      <c r="E1372" s="1">
        <v>219</v>
      </c>
      <c r="F1372" s="1">
        <v>222</v>
      </c>
      <c r="G1372" s="1">
        <v>208</v>
      </c>
      <c r="H1372" s="1">
        <v>183</v>
      </c>
      <c r="I1372" s="1">
        <v>107</v>
      </c>
      <c r="J1372" s="1">
        <v>77</v>
      </c>
      <c r="K1372" s="1">
        <v>61</v>
      </c>
      <c r="L1372" s="1">
        <v>78</v>
      </c>
      <c r="M1372" s="1">
        <v>58</v>
      </c>
      <c r="N1372" s="1">
        <v>29</v>
      </c>
      <c r="O1372" s="1">
        <v>36</v>
      </c>
      <c r="P1372" s="1">
        <v>29</v>
      </c>
      <c r="Q1372" s="1">
        <v>25</v>
      </c>
      <c r="R1372" s="1">
        <v>24</v>
      </c>
      <c r="S1372" s="1">
        <v>15</v>
      </c>
      <c r="T1372" s="1">
        <v>20</v>
      </c>
      <c r="U1372" s="1">
        <v>24</v>
      </c>
      <c r="V1372" s="1">
        <v>22</v>
      </c>
    </row>
    <row r="1373" spans="1:22" x14ac:dyDescent="0.2">
      <c r="A1373" s="1" t="s">
        <v>1146</v>
      </c>
      <c r="B1373" s="1" t="s">
        <v>1379</v>
      </c>
      <c r="C1373" s="1">
        <v>6</v>
      </c>
      <c r="D1373" s="1">
        <v>2</v>
      </c>
      <c r="E1373" s="1">
        <v>11</v>
      </c>
      <c r="F1373" s="1">
        <v>11</v>
      </c>
      <c r="G1373" s="1">
        <v>10</v>
      </c>
      <c r="H1373" s="1">
        <v>3</v>
      </c>
      <c r="I1373" s="1">
        <v>3</v>
      </c>
      <c r="J1373" s="1">
        <v>5</v>
      </c>
      <c r="K1373" s="1">
        <v>3</v>
      </c>
      <c r="L1373" s="1">
        <v>0</v>
      </c>
      <c r="M1373" s="1">
        <v>2</v>
      </c>
      <c r="N1373" s="1">
        <v>0</v>
      </c>
      <c r="O1373" s="1">
        <v>1</v>
      </c>
      <c r="P1373" s="1">
        <v>0</v>
      </c>
      <c r="Q1373" s="1">
        <v>1</v>
      </c>
      <c r="R1373" s="1">
        <v>0</v>
      </c>
      <c r="S1373" s="1">
        <v>0</v>
      </c>
      <c r="T1373" s="1">
        <v>0</v>
      </c>
      <c r="U1373" s="1">
        <v>0</v>
      </c>
      <c r="V1373" s="1">
        <v>0</v>
      </c>
    </row>
    <row r="1374" spans="1:22" x14ac:dyDescent="0.2">
      <c r="A1374" s="1" t="s">
        <v>1146</v>
      </c>
      <c r="B1374" s="1" t="s">
        <v>1380</v>
      </c>
      <c r="C1374" s="1">
        <v>0</v>
      </c>
      <c r="D1374" s="1">
        <v>0</v>
      </c>
      <c r="E1374" s="1">
        <v>0</v>
      </c>
      <c r="F1374" s="1">
        <v>0</v>
      </c>
      <c r="G1374" s="1">
        <v>0</v>
      </c>
      <c r="H1374" s="1">
        <v>0</v>
      </c>
      <c r="I1374" s="1">
        <v>0</v>
      </c>
      <c r="J1374" s="1">
        <v>1</v>
      </c>
      <c r="K1374" s="1">
        <v>2</v>
      </c>
      <c r="L1374" s="1">
        <v>0</v>
      </c>
      <c r="M1374" s="1">
        <v>3</v>
      </c>
      <c r="N1374" s="1">
        <v>0</v>
      </c>
      <c r="O1374" s="1">
        <v>2</v>
      </c>
      <c r="P1374" s="1">
        <v>1</v>
      </c>
      <c r="Q1374" s="1">
        <v>0</v>
      </c>
      <c r="R1374" s="1">
        <v>1</v>
      </c>
      <c r="S1374" s="1">
        <v>1</v>
      </c>
      <c r="T1374" s="1">
        <v>0</v>
      </c>
      <c r="U1374" s="1">
        <v>0</v>
      </c>
      <c r="V1374" s="1">
        <v>0</v>
      </c>
    </row>
    <row r="1375" spans="1:22" x14ac:dyDescent="0.2">
      <c r="A1375" s="1" t="s">
        <v>1146</v>
      </c>
      <c r="B1375" s="1" t="s">
        <v>1381</v>
      </c>
      <c r="C1375" s="1">
        <v>118</v>
      </c>
      <c r="D1375" s="1">
        <v>103</v>
      </c>
      <c r="E1375" s="1">
        <v>106</v>
      </c>
      <c r="F1375" s="1">
        <v>92</v>
      </c>
      <c r="G1375" s="1">
        <v>155</v>
      </c>
      <c r="H1375" s="1">
        <v>121</v>
      </c>
      <c r="I1375" s="1">
        <v>108</v>
      </c>
      <c r="J1375" s="1">
        <v>106</v>
      </c>
      <c r="K1375" s="1">
        <v>95</v>
      </c>
      <c r="L1375" s="1">
        <v>120</v>
      </c>
      <c r="M1375" s="1">
        <v>111</v>
      </c>
      <c r="N1375" s="1">
        <v>115</v>
      </c>
      <c r="O1375" s="1">
        <v>120</v>
      </c>
      <c r="P1375" s="1">
        <v>116</v>
      </c>
      <c r="Q1375" s="1">
        <v>133</v>
      </c>
      <c r="R1375" s="1">
        <v>128</v>
      </c>
      <c r="S1375" s="1">
        <v>122</v>
      </c>
      <c r="T1375" s="1">
        <v>152</v>
      </c>
      <c r="U1375" s="1">
        <v>111</v>
      </c>
      <c r="V1375" s="1">
        <v>132</v>
      </c>
    </row>
    <row r="1376" spans="1:22" x14ac:dyDescent="0.2">
      <c r="A1376" s="1" t="s">
        <v>1146</v>
      </c>
      <c r="B1376" s="1" t="s">
        <v>1382</v>
      </c>
      <c r="C1376" s="1">
        <v>0</v>
      </c>
      <c r="D1376" s="1">
        <v>3</v>
      </c>
      <c r="E1376" s="1">
        <v>5</v>
      </c>
      <c r="F1376" s="1">
        <v>1</v>
      </c>
      <c r="G1376" s="1">
        <v>3</v>
      </c>
      <c r="H1376" s="1">
        <v>0</v>
      </c>
      <c r="I1376" s="1">
        <v>1</v>
      </c>
      <c r="J1376" s="1">
        <v>0</v>
      </c>
      <c r="K1376" s="1">
        <v>0</v>
      </c>
      <c r="L1376" s="1">
        <v>2</v>
      </c>
      <c r="M1376" s="1">
        <v>1</v>
      </c>
      <c r="N1376" s="1">
        <v>4</v>
      </c>
      <c r="O1376" s="1">
        <v>0</v>
      </c>
      <c r="P1376" s="1">
        <v>0</v>
      </c>
      <c r="Q1376" s="1">
        <v>1</v>
      </c>
      <c r="R1376" s="1">
        <v>2</v>
      </c>
      <c r="S1376" s="1">
        <v>2</v>
      </c>
      <c r="T1376" s="1">
        <v>0</v>
      </c>
      <c r="U1376" s="1">
        <v>0</v>
      </c>
      <c r="V1376" s="1">
        <v>0</v>
      </c>
    </row>
    <row r="1377" spans="1:22" x14ac:dyDescent="0.2">
      <c r="A1377" s="1" t="s">
        <v>1146</v>
      </c>
      <c r="B1377" s="1" t="s">
        <v>1383</v>
      </c>
      <c r="C1377" s="1">
        <v>2</v>
      </c>
      <c r="D1377" s="1">
        <v>8</v>
      </c>
      <c r="E1377" s="1">
        <v>9</v>
      </c>
      <c r="F1377" s="1">
        <v>11</v>
      </c>
      <c r="G1377" s="1">
        <v>10</v>
      </c>
      <c r="H1377" s="1">
        <v>4</v>
      </c>
      <c r="I1377" s="1">
        <v>6</v>
      </c>
      <c r="J1377" s="1">
        <v>4</v>
      </c>
      <c r="K1377" s="1">
        <v>7</v>
      </c>
      <c r="L1377" s="1">
        <v>5</v>
      </c>
      <c r="M1377" s="1">
        <v>6</v>
      </c>
      <c r="N1377" s="1">
        <v>13</v>
      </c>
      <c r="O1377" s="1">
        <v>8</v>
      </c>
      <c r="P1377" s="1">
        <v>0</v>
      </c>
      <c r="Q1377" s="1">
        <v>8</v>
      </c>
      <c r="R1377" s="1">
        <v>7</v>
      </c>
      <c r="S1377" s="1">
        <v>11</v>
      </c>
      <c r="T1377" s="1">
        <v>9</v>
      </c>
      <c r="U1377" s="1">
        <v>6</v>
      </c>
      <c r="V1377" s="1">
        <v>7</v>
      </c>
    </row>
    <row r="1378" spans="1:22" x14ac:dyDescent="0.2">
      <c r="A1378" s="1" t="s">
        <v>1146</v>
      </c>
      <c r="B1378" s="1" t="s">
        <v>1384</v>
      </c>
      <c r="C1378" s="1">
        <v>17</v>
      </c>
      <c r="D1378" s="1">
        <v>19</v>
      </c>
      <c r="E1378" s="1">
        <v>11</v>
      </c>
      <c r="F1378" s="1">
        <v>19</v>
      </c>
      <c r="G1378" s="1">
        <v>7</v>
      </c>
      <c r="H1378" s="1">
        <v>13</v>
      </c>
      <c r="I1378" s="1">
        <v>9</v>
      </c>
      <c r="J1378" s="1">
        <v>7</v>
      </c>
      <c r="K1378" s="1">
        <v>11</v>
      </c>
      <c r="L1378" s="1">
        <v>11</v>
      </c>
      <c r="M1378" s="1">
        <v>7</v>
      </c>
      <c r="N1378" s="1">
        <v>9</v>
      </c>
      <c r="O1378" s="1">
        <v>14</v>
      </c>
      <c r="P1378" s="1">
        <v>17</v>
      </c>
      <c r="Q1378" s="1">
        <v>12</v>
      </c>
      <c r="R1378" s="1">
        <v>12</v>
      </c>
      <c r="S1378" s="1">
        <v>17</v>
      </c>
      <c r="T1378" s="1">
        <v>6</v>
      </c>
      <c r="U1378" s="1">
        <v>10</v>
      </c>
      <c r="V1378" s="1">
        <v>8</v>
      </c>
    </row>
    <row r="1379" spans="1:22" x14ac:dyDescent="0.2">
      <c r="A1379" s="1" t="s">
        <v>1146</v>
      </c>
      <c r="B1379" s="1" t="s">
        <v>1385</v>
      </c>
      <c r="C1379" s="1">
        <v>5</v>
      </c>
      <c r="D1379" s="1">
        <v>3</v>
      </c>
      <c r="E1379" s="1">
        <v>13</v>
      </c>
      <c r="F1379" s="1">
        <v>1</v>
      </c>
      <c r="G1379" s="1">
        <v>5</v>
      </c>
      <c r="H1379" s="1">
        <v>3</v>
      </c>
      <c r="I1379" s="1">
        <v>3</v>
      </c>
      <c r="J1379" s="1">
        <v>3</v>
      </c>
      <c r="K1379" s="1">
        <v>2</v>
      </c>
      <c r="L1379" s="1">
        <v>1</v>
      </c>
      <c r="M1379" s="1">
        <v>0</v>
      </c>
      <c r="N1379" s="1">
        <v>4</v>
      </c>
      <c r="O1379" s="1">
        <v>1</v>
      </c>
      <c r="P1379" s="1">
        <v>3</v>
      </c>
      <c r="Q1379" s="1">
        <v>4</v>
      </c>
      <c r="R1379" s="1">
        <v>3</v>
      </c>
      <c r="S1379" s="1">
        <v>0</v>
      </c>
      <c r="T1379" s="1">
        <v>1</v>
      </c>
      <c r="U1379" s="1">
        <v>1</v>
      </c>
      <c r="V1379" s="1">
        <v>0</v>
      </c>
    </row>
    <row r="1380" spans="1:22" x14ac:dyDescent="0.2">
      <c r="A1380" s="1" t="s">
        <v>1146</v>
      </c>
      <c r="B1380" s="1" t="s">
        <v>1386</v>
      </c>
      <c r="C1380" s="1">
        <v>0</v>
      </c>
      <c r="D1380" s="1">
        <v>3</v>
      </c>
      <c r="E1380" s="1">
        <v>2</v>
      </c>
      <c r="F1380" s="1">
        <v>1</v>
      </c>
      <c r="G1380" s="1">
        <v>1</v>
      </c>
      <c r="H1380" s="1">
        <v>0</v>
      </c>
      <c r="I1380" s="1">
        <v>1</v>
      </c>
      <c r="J1380" s="1">
        <v>0</v>
      </c>
      <c r="K1380" s="1">
        <v>0</v>
      </c>
      <c r="L1380" s="1">
        <v>0</v>
      </c>
      <c r="M1380" s="1">
        <v>0</v>
      </c>
      <c r="N1380" s="1">
        <v>0</v>
      </c>
      <c r="O1380" s="1">
        <v>0</v>
      </c>
      <c r="P1380" s="1">
        <v>0</v>
      </c>
      <c r="Q1380" s="1">
        <v>3</v>
      </c>
      <c r="R1380" s="1">
        <v>1</v>
      </c>
      <c r="S1380" s="1">
        <v>2</v>
      </c>
      <c r="T1380" s="1">
        <v>2</v>
      </c>
      <c r="U1380" s="1">
        <v>0</v>
      </c>
      <c r="V1380" s="1">
        <v>0</v>
      </c>
    </row>
    <row r="1381" spans="1:22" x14ac:dyDescent="0.2">
      <c r="A1381" s="1" t="s">
        <v>1146</v>
      </c>
      <c r="B1381" s="1" t="s">
        <v>1387</v>
      </c>
      <c r="C1381" s="1">
        <v>564</v>
      </c>
      <c r="D1381" s="1">
        <v>488</v>
      </c>
      <c r="E1381" s="1">
        <v>500</v>
      </c>
      <c r="F1381" s="1">
        <v>518</v>
      </c>
      <c r="G1381" s="1">
        <v>627</v>
      </c>
      <c r="H1381" s="1">
        <v>649</v>
      </c>
      <c r="I1381" s="1">
        <v>591</v>
      </c>
      <c r="J1381" s="1">
        <v>603</v>
      </c>
      <c r="K1381" s="1">
        <v>776</v>
      </c>
      <c r="L1381" s="1">
        <v>1052</v>
      </c>
      <c r="M1381" s="1">
        <v>951</v>
      </c>
      <c r="N1381" s="1">
        <v>1238</v>
      </c>
      <c r="O1381" s="1">
        <v>1800</v>
      </c>
      <c r="P1381" s="1">
        <v>2348</v>
      </c>
      <c r="Q1381" s="1">
        <v>2506</v>
      </c>
      <c r="R1381" s="1">
        <v>2564</v>
      </c>
      <c r="S1381" s="1">
        <v>2692</v>
      </c>
      <c r="T1381" s="1">
        <v>2805</v>
      </c>
      <c r="U1381" s="1">
        <v>2625</v>
      </c>
      <c r="V1381" s="1">
        <v>2837</v>
      </c>
    </row>
    <row r="1382" spans="1:22" x14ac:dyDescent="0.2">
      <c r="A1382" s="1" t="s">
        <v>1146</v>
      </c>
      <c r="B1382" s="1" t="s">
        <v>1388</v>
      </c>
      <c r="C1382" s="1">
        <v>0</v>
      </c>
      <c r="D1382" s="1">
        <v>0</v>
      </c>
      <c r="E1382" s="1">
        <v>0</v>
      </c>
      <c r="F1382" s="1">
        <v>0</v>
      </c>
      <c r="G1382" s="1">
        <v>0</v>
      </c>
      <c r="H1382" s="1">
        <v>0</v>
      </c>
      <c r="I1382" s="1">
        <v>0</v>
      </c>
      <c r="J1382" s="1">
        <v>0</v>
      </c>
      <c r="K1382" s="1">
        <v>0</v>
      </c>
      <c r="L1382" s="1">
        <v>0</v>
      </c>
      <c r="M1382" s="1">
        <v>49</v>
      </c>
      <c r="N1382" s="1">
        <v>85</v>
      </c>
      <c r="O1382" s="1">
        <v>77</v>
      </c>
      <c r="P1382" s="1">
        <v>81</v>
      </c>
      <c r="Q1382" s="1">
        <v>95</v>
      </c>
      <c r="R1382" s="1">
        <v>63</v>
      </c>
      <c r="S1382" s="1">
        <v>89</v>
      </c>
      <c r="T1382" s="1">
        <v>63</v>
      </c>
      <c r="U1382" s="1">
        <v>55</v>
      </c>
      <c r="V1382" s="1">
        <v>131</v>
      </c>
    </row>
    <row r="1383" spans="1:22" x14ac:dyDescent="0.2">
      <c r="A1383" s="1" t="s">
        <v>1146</v>
      </c>
      <c r="B1383" s="1" t="s">
        <v>1389</v>
      </c>
      <c r="C1383" s="1">
        <v>51</v>
      </c>
      <c r="D1383" s="1">
        <v>34</v>
      </c>
      <c r="E1383" s="1">
        <v>52</v>
      </c>
      <c r="F1383" s="1">
        <v>66</v>
      </c>
      <c r="G1383" s="1">
        <v>69</v>
      </c>
      <c r="H1383" s="1">
        <v>57</v>
      </c>
      <c r="I1383" s="1">
        <v>55</v>
      </c>
      <c r="J1383" s="1">
        <v>48</v>
      </c>
      <c r="K1383" s="1">
        <v>43</v>
      </c>
      <c r="L1383" s="1">
        <v>54</v>
      </c>
      <c r="M1383" s="1">
        <v>84</v>
      </c>
      <c r="N1383" s="1">
        <v>123</v>
      </c>
      <c r="O1383" s="1">
        <v>215</v>
      </c>
      <c r="P1383" s="1">
        <v>298</v>
      </c>
      <c r="Q1383" s="1">
        <v>346</v>
      </c>
      <c r="R1383" s="1">
        <v>419</v>
      </c>
      <c r="S1383" s="1">
        <v>451</v>
      </c>
      <c r="T1383" s="1">
        <v>424</v>
      </c>
      <c r="U1383" s="1">
        <v>383</v>
      </c>
      <c r="V1383" s="1">
        <v>429</v>
      </c>
    </row>
    <row r="1384" spans="1:22" x14ac:dyDescent="0.2">
      <c r="A1384" s="1" t="s">
        <v>1146</v>
      </c>
      <c r="B1384" s="1" t="s">
        <v>1390</v>
      </c>
      <c r="C1384" s="1">
        <v>2</v>
      </c>
      <c r="D1384" s="1">
        <v>4</v>
      </c>
      <c r="E1384" s="1">
        <v>5</v>
      </c>
      <c r="F1384" s="1">
        <v>15</v>
      </c>
      <c r="G1384" s="1">
        <v>6</v>
      </c>
      <c r="H1384" s="1">
        <v>2</v>
      </c>
      <c r="I1384" s="1">
        <v>0</v>
      </c>
      <c r="J1384" s="1">
        <v>5</v>
      </c>
      <c r="K1384" s="1">
        <v>5</v>
      </c>
      <c r="L1384" s="1">
        <v>6</v>
      </c>
      <c r="M1384" s="1">
        <v>5</v>
      </c>
      <c r="N1384" s="1">
        <v>9</v>
      </c>
      <c r="O1384" s="1">
        <v>5</v>
      </c>
      <c r="P1384" s="1">
        <v>5</v>
      </c>
      <c r="Q1384" s="1">
        <v>8</v>
      </c>
      <c r="R1384" s="1">
        <v>2</v>
      </c>
      <c r="S1384" s="1">
        <v>2</v>
      </c>
      <c r="T1384" s="1">
        <v>4</v>
      </c>
      <c r="U1384" s="1">
        <v>1</v>
      </c>
      <c r="V1384" s="1">
        <v>1</v>
      </c>
    </row>
    <row r="1385" spans="1:22" x14ac:dyDescent="0.2">
      <c r="A1385" s="1" t="s">
        <v>1146</v>
      </c>
      <c r="B1385" s="1" t="s">
        <v>1391</v>
      </c>
      <c r="C1385" s="1">
        <v>0</v>
      </c>
      <c r="D1385" s="1">
        <v>0</v>
      </c>
      <c r="E1385" s="1">
        <v>8</v>
      </c>
      <c r="F1385" s="1">
        <v>0</v>
      </c>
      <c r="G1385" s="1">
        <v>0</v>
      </c>
      <c r="H1385" s="1">
        <v>0</v>
      </c>
      <c r="I1385" s="1">
        <v>0</v>
      </c>
      <c r="J1385" s="1">
        <v>0</v>
      </c>
      <c r="K1385" s="1">
        <v>0</v>
      </c>
      <c r="L1385" s="1">
        <v>0</v>
      </c>
      <c r="M1385" s="1">
        <v>0</v>
      </c>
      <c r="N1385" s="1">
        <v>1</v>
      </c>
      <c r="O1385" s="1">
        <v>0</v>
      </c>
      <c r="P1385" s="1">
        <v>0</v>
      </c>
      <c r="Q1385" s="1">
        <v>0</v>
      </c>
      <c r="R1385" s="1">
        <v>0</v>
      </c>
      <c r="S1385" s="1">
        <v>0</v>
      </c>
      <c r="T1385" s="1">
        <v>0</v>
      </c>
      <c r="U1385" s="1">
        <v>0</v>
      </c>
      <c r="V1385" s="1">
        <v>0</v>
      </c>
    </row>
    <row r="1386" spans="1:22" x14ac:dyDescent="0.2">
      <c r="A1386" s="1" t="s">
        <v>1146</v>
      </c>
      <c r="B1386" s="1" t="s">
        <v>1392</v>
      </c>
      <c r="C1386" s="1">
        <f>SUM(C1387:C1413)</f>
        <v>1640</v>
      </c>
      <c r="D1386" s="1">
        <f>SUM(D1387:D1413)</f>
        <v>1605</v>
      </c>
      <c r="E1386" s="1">
        <f>SUM(E1387:E1413)</f>
        <v>1609</v>
      </c>
      <c r="F1386" s="1">
        <f>SUM(F1387:F1413)</f>
        <v>1680</v>
      </c>
      <c r="G1386" s="1">
        <f t="shared" ref="G1386:R1386" si="250">SUM(G1387:G1413)</f>
        <v>1766</v>
      </c>
      <c r="H1386" s="1">
        <f t="shared" si="250"/>
        <v>1620</v>
      </c>
      <c r="I1386" s="1">
        <f t="shared" si="250"/>
        <v>1472</v>
      </c>
      <c r="J1386" s="1">
        <f t="shared" si="250"/>
        <v>1393</v>
      </c>
      <c r="K1386" s="1">
        <f t="shared" si="250"/>
        <v>1742</v>
      </c>
      <c r="L1386" s="1">
        <f t="shared" si="250"/>
        <v>2195</v>
      </c>
      <c r="M1386" s="1">
        <f t="shared" si="250"/>
        <v>2314</v>
      </c>
      <c r="N1386" s="1">
        <f t="shared" si="250"/>
        <v>3076</v>
      </c>
      <c r="O1386" s="1">
        <f t="shared" si="250"/>
        <v>2995</v>
      </c>
      <c r="P1386" s="1">
        <f t="shared" si="250"/>
        <v>3037</v>
      </c>
      <c r="Q1386" s="1">
        <f>SUM(Q1387:Q1413)</f>
        <v>1730</v>
      </c>
      <c r="R1386" s="1">
        <f t="shared" si="250"/>
        <v>1801</v>
      </c>
      <c r="S1386" s="1">
        <f>SUM(S1387:S1413)</f>
        <v>1745</v>
      </c>
      <c r="T1386" s="1">
        <f>SUM(T1387:T1413)</f>
        <v>1971</v>
      </c>
      <c r="U1386" s="1">
        <f>SUM(U1387:U1413)</f>
        <v>1963</v>
      </c>
      <c r="V1386" s="1">
        <f>SUM(V1387:V1413)</f>
        <v>2459</v>
      </c>
    </row>
    <row r="1387" spans="1:22" x14ac:dyDescent="0.2">
      <c r="A1387" s="1" t="s">
        <v>1146</v>
      </c>
      <c r="B1387" s="1" t="s">
        <v>1393</v>
      </c>
      <c r="C1387" s="1">
        <v>3</v>
      </c>
      <c r="D1387" s="1">
        <v>2</v>
      </c>
      <c r="E1387" s="1">
        <v>2</v>
      </c>
      <c r="F1387" s="1">
        <v>1</v>
      </c>
      <c r="G1387" s="1">
        <v>2</v>
      </c>
      <c r="H1387" s="1">
        <v>1</v>
      </c>
      <c r="I1387" s="1">
        <v>0</v>
      </c>
      <c r="J1387" s="1">
        <v>0</v>
      </c>
      <c r="K1387" s="1">
        <v>0</v>
      </c>
      <c r="L1387" s="1">
        <v>0</v>
      </c>
      <c r="M1387" s="1">
        <v>0</v>
      </c>
      <c r="N1387" s="1">
        <v>0</v>
      </c>
      <c r="O1387" s="1">
        <v>0</v>
      </c>
      <c r="P1387" s="1">
        <v>0</v>
      </c>
      <c r="Q1387" s="1">
        <v>0</v>
      </c>
      <c r="R1387" s="1">
        <v>0</v>
      </c>
      <c r="S1387" s="1">
        <v>0</v>
      </c>
      <c r="T1387" s="1">
        <v>0</v>
      </c>
      <c r="U1387" s="1">
        <v>0</v>
      </c>
      <c r="V1387" s="1">
        <v>0</v>
      </c>
    </row>
    <row r="1388" spans="1:22" x14ac:dyDescent="0.2">
      <c r="A1388" s="1" t="s">
        <v>1146</v>
      </c>
      <c r="B1388" s="1" t="s">
        <v>1394</v>
      </c>
      <c r="C1388" s="1">
        <v>1036</v>
      </c>
      <c r="D1388" s="1">
        <v>1067</v>
      </c>
      <c r="E1388" s="1">
        <v>1087</v>
      </c>
      <c r="F1388" s="1">
        <v>1163</v>
      </c>
      <c r="G1388" s="1">
        <v>1177</v>
      </c>
      <c r="H1388" s="1">
        <v>1043</v>
      </c>
      <c r="I1388" s="1">
        <v>950</v>
      </c>
      <c r="J1388" s="1">
        <v>914</v>
      </c>
      <c r="K1388" s="1">
        <v>1196</v>
      </c>
      <c r="L1388" s="1">
        <v>1663</v>
      </c>
      <c r="M1388" s="1">
        <v>1570</v>
      </c>
      <c r="N1388" s="1">
        <v>2182</v>
      </c>
      <c r="O1388" s="1">
        <v>2061</v>
      </c>
      <c r="P1388" s="1">
        <v>2048</v>
      </c>
      <c r="Q1388" s="1">
        <v>1264</v>
      </c>
      <c r="R1388" s="1">
        <v>1197</v>
      </c>
      <c r="S1388" s="1">
        <v>1241</v>
      </c>
      <c r="T1388" s="1">
        <v>1171</v>
      </c>
      <c r="U1388" s="1">
        <v>1387</v>
      </c>
      <c r="V1388" s="1">
        <v>1628</v>
      </c>
    </row>
    <row r="1389" spans="1:22" x14ac:dyDescent="0.2">
      <c r="A1389" s="1" t="s">
        <v>1146</v>
      </c>
      <c r="B1389" s="1" t="s">
        <v>1395</v>
      </c>
      <c r="C1389" s="1">
        <v>0</v>
      </c>
      <c r="D1389" s="1">
        <v>4</v>
      </c>
      <c r="E1389" s="1">
        <v>1</v>
      </c>
      <c r="F1389" s="1">
        <v>3</v>
      </c>
      <c r="G1389" s="1">
        <v>1</v>
      </c>
      <c r="H1389" s="1">
        <v>0</v>
      </c>
      <c r="I1389" s="1">
        <v>0</v>
      </c>
      <c r="J1389" s="1">
        <v>0</v>
      </c>
      <c r="K1389" s="1">
        <v>1</v>
      </c>
      <c r="L1389" s="1">
        <v>1</v>
      </c>
      <c r="M1389" s="1">
        <v>0</v>
      </c>
      <c r="N1389" s="1">
        <v>14</v>
      </c>
      <c r="O1389" s="1">
        <v>1</v>
      </c>
      <c r="P1389" s="1">
        <v>2</v>
      </c>
      <c r="Q1389" s="1">
        <v>1</v>
      </c>
      <c r="R1389" s="1">
        <v>2</v>
      </c>
      <c r="S1389" s="1">
        <v>1</v>
      </c>
      <c r="T1389" s="1">
        <v>0</v>
      </c>
      <c r="U1389" s="1">
        <v>0</v>
      </c>
      <c r="V1389" s="1">
        <v>0</v>
      </c>
    </row>
    <row r="1390" spans="1:22" x14ac:dyDescent="0.2">
      <c r="A1390" s="1" t="s">
        <v>1146</v>
      </c>
      <c r="B1390" s="1" t="s">
        <v>1396</v>
      </c>
      <c r="C1390" s="1">
        <v>0</v>
      </c>
      <c r="D1390" s="1">
        <v>0</v>
      </c>
      <c r="E1390" s="1">
        <v>0</v>
      </c>
      <c r="F1390" s="1">
        <v>0</v>
      </c>
      <c r="G1390" s="1">
        <v>0</v>
      </c>
      <c r="H1390" s="1">
        <v>0</v>
      </c>
      <c r="I1390" s="1">
        <v>3</v>
      </c>
      <c r="J1390" s="1">
        <v>5</v>
      </c>
      <c r="K1390" s="1">
        <v>9</v>
      </c>
      <c r="L1390" s="1">
        <v>3</v>
      </c>
      <c r="M1390" s="1">
        <v>22</v>
      </c>
      <c r="N1390" s="1">
        <v>26</v>
      </c>
      <c r="O1390" s="1">
        <v>14</v>
      </c>
      <c r="P1390" s="1">
        <v>4</v>
      </c>
      <c r="Q1390" s="1">
        <v>6</v>
      </c>
      <c r="R1390" s="1">
        <v>3</v>
      </c>
      <c r="S1390" s="1">
        <v>7</v>
      </c>
      <c r="T1390" s="1">
        <v>8</v>
      </c>
      <c r="U1390" s="1">
        <v>7</v>
      </c>
      <c r="V1390" s="1">
        <v>13</v>
      </c>
    </row>
    <row r="1391" spans="1:22" x14ac:dyDescent="0.2">
      <c r="A1391" s="1" t="s">
        <v>1146</v>
      </c>
      <c r="B1391" s="1" t="s">
        <v>1397</v>
      </c>
      <c r="C1391" s="1">
        <v>67</v>
      </c>
      <c r="D1391" s="1">
        <v>82</v>
      </c>
      <c r="E1391" s="1">
        <v>44</v>
      </c>
      <c r="F1391" s="1">
        <v>34</v>
      </c>
      <c r="G1391" s="1">
        <v>56</v>
      </c>
      <c r="H1391" s="1">
        <v>36</v>
      </c>
      <c r="I1391" s="1">
        <v>48</v>
      </c>
      <c r="J1391" s="1">
        <v>32</v>
      </c>
      <c r="K1391" s="1">
        <v>32</v>
      </c>
      <c r="L1391" s="1">
        <v>31</v>
      </c>
      <c r="M1391" s="1">
        <v>30</v>
      </c>
      <c r="N1391" s="1">
        <v>37</v>
      </c>
      <c r="O1391" s="1">
        <v>29</v>
      </c>
      <c r="P1391" s="1">
        <v>25</v>
      </c>
      <c r="Q1391" s="1">
        <v>13</v>
      </c>
      <c r="R1391" s="1">
        <v>14</v>
      </c>
      <c r="S1391" s="1">
        <v>14</v>
      </c>
      <c r="T1391" s="1">
        <v>11</v>
      </c>
      <c r="U1391" s="1">
        <v>13</v>
      </c>
      <c r="V1391" s="1">
        <v>20</v>
      </c>
    </row>
    <row r="1392" spans="1:22" x14ac:dyDescent="0.2">
      <c r="A1392" s="1" t="s">
        <v>1146</v>
      </c>
      <c r="B1392" s="1" t="s">
        <v>1398</v>
      </c>
      <c r="C1392" s="1">
        <v>35</v>
      </c>
      <c r="D1392" s="1">
        <v>48</v>
      </c>
      <c r="E1392" s="1">
        <v>33</v>
      </c>
      <c r="F1392" s="1">
        <v>42</v>
      </c>
      <c r="G1392" s="1">
        <v>70</v>
      </c>
      <c r="H1392" s="1">
        <v>61</v>
      </c>
      <c r="I1392" s="1">
        <v>48</v>
      </c>
      <c r="J1392" s="1">
        <v>55</v>
      </c>
      <c r="K1392" s="1">
        <v>35</v>
      </c>
      <c r="L1392" s="1">
        <v>86</v>
      </c>
      <c r="M1392" s="1">
        <v>111</v>
      </c>
      <c r="N1392" s="1">
        <v>155</v>
      </c>
      <c r="O1392" s="1">
        <v>145</v>
      </c>
      <c r="P1392" s="1">
        <v>110</v>
      </c>
      <c r="Q1392" s="1">
        <v>33</v>
      </c>
      <c r="R1392" s="1">
        <v>40</v>
      </c>
      <c r="S1392" s="1">
        <v>35</v>
      </c>
      <c r="T1392" s="1">
        <v>36</v>
      </c>
      <c r="U1392" s="1">
        <v>47</v>
      </c>
      <c r="V1392" s="1">
        <v>41</v>
      </c>
    </row>
    <row r="1393" spans="1:22" x14ac:dyDescent="0.2">
      <c r="A1393" s="1" t="s">
        <v>1146</v>
      </c>
      <c r="B1393" s="1" t="s">
        <v>1399</v>
      </c>
      <c r="C1393" s="1">
        <v>0</v>
      </c>
      <c r="D1393" s="1">
        <v>0</v>
      </c>
      <c r="E1393" s="1">
        <v>0</v>
      </c>
      <c r="F1393" s="1">
        <v>1</v>
      </c>
      <c r="G1393" s="1">
        <v>10</v>
      </c>
      <c r="H1393" s="1">
        <v>14</v>
      </c>
      <c r="I1393" s="1">
        <v>16</v>
      </c>
      <c r="J1393" s="1">
        <v>39</v>
      </c>
      <c r="K1393" s="1">
        <v>82</v>
      </c>
      <c r="L1393" s="1">
        <v>74</v>
      </c>
      <c r="M1393" s="1">
        <v>86</v>
      </c>
      <c r="N1393" s="1">
        <v>88</v>
      </c>
      <c r="O1393" s="1">
        <v>135</v>
      </c>
      <c r="P1393" s="1">
        <v>161</v>
      </c>
      <c r="Q1393" s="1">
        <v>115</v>
      </c>
      <c r="R1393" s="1">
        <v>114</v>
      </c>
      <c r="S1393" s="1">
        <v>143</v>
      </c>
      <c r="T1393" s="1">
        <v>177</v>
      </c>
      <c r="U1393" s="1">
        <v>18</v>
      </c>
      <c r="V1393" s="1">
        <v>0</v>
      </c>
    </row>
    <row r="1394" spans="1:22" x14ac:dyDescent="0.2">
      <c r="A1394" s="1" t="s">
        <v>1146</v>
      </c>
      <c r="B1394" s="1" t="s">
        <v>1400</v>
      </c>
      <c r="C1394" s="1">
        <v>0</v>
      </c>
      <c r="D1394" s="1">
        <v>0</v>
      </c>
      <c r="E1394" s="1">
        <v>0</v>
      </c>
      <c r="F1394" s="1">
        <v>0</v>
      </c>
      <c r="G1394" s="1">
        <v>0</v>
      </c>
      <c r="H1394" s="1">
        <v>1</v>
      </c>
      <c r="I1394" s="1">
        <v>0</v>
      </c>
      <c r="J1394" s="1">
        <v>0</v>
      </c>
      <c r="K1394" s="1">
        <v>0</v>
      </c>
      <c r="L1394" s="1">
        <v>2</v>
      </c>
      <c r="M1394" s="1">
        <v>3</v>
      </c>
      <c r="N1394" s="1">
        <v>2</v>
      </c>
      <c r="O1394" s="1">
        <v>1</v>
      </c>
      <c r="P1394" s="1">
        <v>2</v>
      </c>
      <c r="Q1394" s="1">
        <v>0</v>
      </c>
      <c r="R1394" s="1">
        <v>0</v>
      </c>
      <c r="S1394" s="1">
        <v>2</v>
      </c>
      <c r="T1394" s="1">
        <v>2</v>
      </c>
      <c r="U1394" s="1">
        <v>0</v>
      </c>
      <c r="V1394" s="1">
        <v>0</v>
      </c>
    </row>
    <row r="1395" spans="1:22" x14ac:dyDescent="0.2">
      <c r="A1395" s="1" t="s">
        <v>1146</v>
      </c>
      <c r="B1395" s="1" t="s">
        <v>1401</v>
      </c>
      <c r="C1395" s="1">
        <v>8</v>
      </c>
      <c r="D1395" s="1">
        <v>0</v>
      </c>
      <c r="E1395" s="1">
        <v>8</v>
      </c>
      <c r="F1395" s="1">
        <v>0</v>
      </c>
      <c r="G1395" s="1">
        <v>0</v>
      </c>
      <c r="H1395" s="1">
        <v>0</v>
      </c>
      <c r="I1395" s="1">
        <v>0</v>
      </c>
      <c r="J1395" s="1">
        <v>0</v>
      </c>
      <c r="K1395" s="1">
        <v>0</v>
      </c>
      <c r="L1395" s="1">
        <v>0</v>
      </c>
      <c r="M1395" s="1">
        <v>0</v>
      </c>
      <c r="N1395" s="1">
        <v>0</v>
      </c>
      <c r="O1395" s="1">
        <v>0</v>
      </c>
      <c r="P1395" s="1">
        <v>0</v>
      </c>
      <c r="Q1395" s="1">
        <v>1</v>
      </c>
      <c r="R1395" s="1">
        <v>1</v>
      </c>
      <c r="S1395" s="1">
        <v>0</v>
      </c>
      <c r="T1395" s="1">
        <v>0</v>
      </c>
      <c r="U1395" s="1">
        <v>0</v>
      </c>
      <c r="V1395" s="1">
        <v>0</v>
      </c>
    </row>
    <row r="1396" spans="1:22" x14ac:dyDescent="0.2">
      <c r="A1396" s="1" t="s">
        <v>1146</v>
      </c>
      <c r="B1396" s="1" t="s">
        <v>1402</v>
      </c>
      <c r="C1396" s="1">
        <v>0</v>
      </c>
      <c r="D1396" s="1">
        <v>0</v>
      </c>
      <c r="E1396" s="1">
        <v>0</v>
      </c>
      <c r="F1396" s="1">
        <v>0</v>
      </c>
      <c r="G1396" s="1">
        <v>0</v>
      </c>
      <c r="H1396" s="1">
        <v>0</v>
      </c>
      <c r="I1396" s="1">
        <v>0</v>
      </c>
      <c r="J1396" s="1">
        <v>0</v>
      </c>
      <c r="K1396" s="1">
        <v>0</v>
      </c>
      <c r="L1396" s="1">
        <v>0</v>
      </c>
      <c r="M1396" s="1">
        <v>0</v>
      </c>
      <c r="N1396" s="1">
        <v>0</v>
      </c>
      <c r="O1396" s="1">
        <v>1</v>
      </c>
      <c r="P1396" s="1">
        <v>1</v>
      </c>
      <c r="Q1396" s="1">
        <v>1</v>
      </c>
      <c r="R1396" s="1">
        <v>0</v>
      </c>
      <c r="S1396" s="1">
        <v>0</v>
      </c>
      <c r="T1396" s="1">
        <v>0</v>
      </c>
      <c r="U1396" s="1">
        <v>0</v>
      </c>
      <c r="V1396" s="1">
        <v>1</v>
      </c>
    </row>
    <row r="1397" spans="1:22" x14ac:dyDescent="0.2">
      <c r="A1397" s="1" t="s">
        <v>1146</v>
      </c>
      <c r="B1397" s="1" t="s">
        <v>1403</v>
      </c>
      <c r="C1397" s="1">
        <v>0</v>
      </c>
      <c r="D1397" s="1">
        <v>0</v>
      </c>
      <c r="E1397" s="1">
        <v>0</v>
      </c>
      <c r="F1397" s="1">
        <v>0</v>
      </c>
      <c r="G1397" s="1">
        <v>0</v>
      </c>
      <c r="H1397" s="1">
        <v>0</v>
      </c>
      <c r="I1397" s="1">
        <v>0</v>
      </c>
      <c r="J1397" s="1">
        <v>0</v>
      </c>
      <c r="K1397" s="1">
        <v>0</v>
      </c>
      <c r="L1397" s="1">
        <v>0</v>
      </c>
      <c r="M1397" s="1">
        <v>1</v>
      </c>
      <c r="N1397" s="1">
        <v>0</v>
      </c>
      <c r="O1397" s="1">
        <v>1</v>
      </c>
      <c r="P1397" s="1">
        <v>0</v>
      </c>
      <c r="Q1397" s="1">
        <v>1</v>
      </c>
      <c r="R1397" s="1">
        <v>0</v>
      </c>
      <c r="S1397" s="1">
        <v>0</v>
      </c>
      <c r="T1397" s="1">
        <v>0</v>
      </c>
      <c r="U1397" s="1">
        <v>0</v>
      </c>
      <c r="V1397" s="1">
        <v>0</v>
      </c>
    </row>
    <row r="1398" spans="1:22" x14ac:dyDescent="0.2">
      <c r="A1398" s="1" t="s">
        <v>1146</v>
      </c>
      <c r="B1398" s="1" t="s">
        <v>1404</v>
      </c>
      <c r="C1398" s="1">
        <v>2</v>
      </c>
      <c r="D1398" s="1">
        <v>1</v>
      </c>
      <c r="E1398" s="1">
        <v>11</v>
      </c>
      <c r="F1398" s="1">
        <v>5</v>
      </c>
      <c r="G1398" s="1">
        <v>7</v>
      </c>
      <c r="H1398" s="1">
        <v>4</v>
      </c>
      <c r="I1398" s="1">
        <v>5</v>
      </c>
      <c r="J1398" s="1">
        <v>8</v>
      </c>
      <c r="K1398" s="1">
        <v>7</v>
      </c>
      <c r="L1398" s="1">
        <v>6</v>
      </c>
      <c r="M1398" s="1">
        <v>13</v>
      </c>
      <c r="N1398" s="1">
        <v>10</v>
      </c>
      <c r="O1398" s="1">
        <v>13</v>
      </c>
      <c r="P1398" s="1">
        <v>11</v>
      </c>
      <c r="Q1398" s="1">
        <v>0</v>
      </c>
      <c r="R1398" s="1">
        <v>0</v>
      </c>
      <c r="S1398" s="1">
        <v>0</v>
      </c>
      <c r="T1398" s="1">
        <v>0</v>
      </c>
      <c r="U1398" s="1">
        <v>0</v>
      </c>
      <c r="V1398" s="1">
        <v>0</v>
      </c>
    </row>
    <row r="1399" spans="1:22" x14ac:dyDescent="0.2">
      <c r="A1399" s="1" t="s">
        <v>1146</v>
      </c>
      <c r="B1399" s="1" t="s">
        <v>1405</v>
      </c>
      <c r="C1399" s="1">
        <v>2</v>
      </c>
      <c r="D1399" s="1">
        <v>0</v>
      </c>
      <c r="E1399" s="1">
        <v>0</v>
      </c>
      <c r="F1399" s="1">
        <v>0</v>
      </c>
      <c r="G1399" s="1">
        <v>0</v>
      </c>
      <c r="H1399" s="1">
        <v>2</v>
      </c>
      <c r="I1399" s="1">
        <v>1</v>
      </c>
      <c r="J1399" s="1">
        <v>1</v>
      </c>
      <c r="K1399" s="1">
        <v>0</v>
      </c>
      <c r="L1399" s="1">
        <v>0</v>
      </c>
      <c r="M1399" s="1">
        <v>1</v>
      </c>
      <c r="N1399" s="1">
        <v>1</v>
      </c>
      <c r="O1399" s="1">
        <v>0</v>
      </c>
      <c r="P1399" s="1">
        <v>0</v>
      </c>
      <c r="Q1399" s="1">
        <v>0</v>
      </c>
      <c r="R1399" s="1">
        <v>0</v>
      </c>
      <c r="S1399" s="1">
        <v>0</v>
      </c>
      <c r="T1399" s="1">
        <v>0</v>
      </c>
      <c r="U1399" s="1">
        <v>0</v>
      </c>
      <c r="V1399" s="1">
        <v>0</v>
      </c>
    </row>
    <row r="1400" spans="1:22" x14ac:dyDescent="0.2">
      <c r="A1400" s="1" t="s">
        <v>1146</v>
      </c>
      <c r="B1400" s="1" t="s">
        <v>1406</v>
      </c>
      <c r="C1400" s="1">
        <v>11</v>
      </c>
      <c r="D1400" s="1">
        <v>2</v>
      </c>
      <c r="E1400" s="1">
        <v>3</v>
      </c>
      <c r="F1400" s="1">
        <v>14</v>
      </c>
      <c r="G1400" s="1">
        <v>6</v>
      </c>
      <c r="H1400" s="1">
        <v>4</v>
      </c>
      <c r="I1400" s="1">
        <v>3</v>
      </c>
      <c r="J1400" s="1">
        <v>0</v>
      </c>
      <c r="K1400" s="1">
        <v>4</v>
      </c>
      <c r="L1400" s="1">
        <v>6</v>
      </c>
      <c r="M1400" s="1">
        <v>3</v>
      </c>
      <c r="N1400" s="1">
        <v>4</v>
      </c>
      <c r="O1400" s="1">
        <v>4</v>
      </c>
      <c r="P1400" s="1">
        <v>2</v>
      </c>
      <c r="Q1400" s="1">
        <v>3</v>
      </c>
      <c r="R1400" s="1">
        <v>6</v>
      </c>
      <c r="S1400" s="1">
        <v>0</v>
      </c>
      <c r="T1400" s="1">
        <v>5</v>
      </c>
      <c r="U1400" s="1">
        <v>4</v>
      </c>
      <c r="V1400" s="1">
        <v>4</v>
      </c>
    </row>
    <row r="1401" spans="1:22" x14ac:dyDescent="0.2">
      <c r="A1401" s="1" t="s">
        <v>1146</v>
      </c>
      <c r="B1401" s="1" t="s">
        <v>1407</v>
      </c>
      <c r="C1401" s="1">
        <v>0</v>
      </c>
      <c r="D1401" s="1">
        <v>0</v>
      </c>
      <c r="E1401" s="1">
        <v>0</v>
      </c>
      <c r="F1401" s="1">
        <v>0</v>
      </c>
      <c r="G1401" s="1">
        <v>0</v>
      </c>
      <c r="H1401" s="1">
        <v>0</v>
      </c>
      <c r="I1401" s="1">
        <v>0</v>
      </c>
      <c r="J1401" s="1">
        <v>0</v>
      </c>
      <c r="K1401" s="1">
        <v>0</v>
      </c>
      <c r="L1401" s="1">
        <v>1</v>
      </c>
      <c r="M1401" s="1">
        <v>0</v>
      </c>
      <c r="N1401" s="1">
        <v>1</v>
      </c>
      <c r="O1401" s="1">
        <v>1</v>
      </c>
      <c r="P1401" s="1">
        <v>0</v>
      </c>
      <c r="Q1401" s="1">
        <v>0</v>
      </c>
      <c r="R1401" s="1">
        <v>0</v>
      </c>
      <c r="S1401" s="1">
        <v>0</v>
      </c>
      <c r="T1401" s="1">
        <v>1</v>
      </c>
      <c r="U1401" s="1">
        <v>1</v>
      </c>
      <c r="V1401" s="1">
        <v>2</v>
      </c>
    </row>
    <row r="1402" spans="1:22" x14ac:dyDescent="0.2">
      <c r="A1402" s="1" t="s">
        <v>1146</v>
      </c>
      <c r="B1402" s="1" t="s">
        <v>1408</v>
      </c>
      <c r="C1402" s="1">
        <v>150</v>
      </c>
      <c r="D1402" s="1">
        <v>162</v>
      </c>
      <c r="E1402" s="1">
        <v>135</v>
      </c>
      <c r="F1402" s="1">
        <v>171</v>
      </c>
      <c r="G1402" s="1">
        <v>141</v>
      </c>
      <c r="H1402" s="1">
        <v>198</v>
      </c>
      <c r="I1402" s="1">
        <v>169</v>
      </c>
      <c r="J1402" s="1">
        <v>139</v>
      </c>
      <c r="K1402" s="1">
        <v>121</v>
      </c>
      <c r="L1402" s="1">
        <v>63</v>
      </c>
      <c r="M1402" s="1">
        <v>204</v>
      </c>
      <c r="N1402" s="1">
        <v>146</v>
      </c>
      <c r="O1402" s="1">
        <v>169</v>
      </c>
      <c r="P1402" s="1">
        <v>273</v>
      </c>
      <c r="Q1402" s="1">
        <v>36</v>
      </c>
      <c r="R1402" s="1">
        <v>152</v>
      </c>
      <c r="S1402" s="1">
        <v>29</v>
      </c>
      <c r="T1402" s="1">
        <v>162</v>
      </c>
      <c r="U1402" s="1">
        <v>120</v>
      </c>
      <c r="V1402" s="1">
        <v>279</v>
      </c>
    </row>
    <row r="1403" spans="1:22" x14ac:dyDescent="0.2">
      <c r="A1403" s="1" t="s">
        <v>1146</v>
      </c>
      <c r="B1403" s="1" t="s">
        <v>1409</v>
      </c>
      <c r="C1403" s="1">
        <v>19</v>
      </c>
      <c r="D1403" s="1">
        <v>24</v>
      </c>
      <c r="E1403" s="1">
        <v>28</v>
      </c>
      <c r="F1403" s="1">
        <v>23</v>
      </c>
      <c r="G1403" s="1">
        <v>20</v>
      </c>
      <c r="H1403" s="1">
        <v>18</v>
      </c>
      <c r="I1403" s="1">
        <v>11</v>
      </c>
      <c r="J1403" s="1">
        <v>18</v>
      </c>
      <c r="K1403" s="1">
        <v>25</v>
      </c>
      <c r="L1403" s="1">
        <v>21</v>
      </c>
      <c r="M1403" s="1">
        <v>17</v>
      </c>
      <c r="N1403" s="1">
        <v>30</v>
      </c>
      <c r="O1403" s="1">
        <v>22</v>
      </c>
      <c r="P1403" s="1">
        <v>17</v>
      </c>
      <c r="Q1403" s="1">
        <v>18</v>
      </c>
      <c r="R1403" s="1">
        <v>22</v>
      </c>
      <c r="S1403" s="1">
        <v>16</v>
      </c>
      <c r="T1403" s="1">
        <v>25</v>
      </c>
      <c r="U1403" s="1">
        <v>23</v>
      </c>
      <c r="V1403" s="1">
        <v>39</v>
      </c>
    </row>
    <row r="1404" spans="1:22" x14ac:dyDescent="0.2">
      <c r="A1404" s="1" t="s">
        <v>1146</v>
      </c>
      <c r="B1404" s="1" t="s">
        <v>1410</v>
      </c>
      <c r="C1404" s="1">
        <v>6</v>
      </c>
      <c r="D1404" s="1">
        <v>6</v>
      </c>
      <c r="E1404" s="1">
        <v>6</v>
      </c>
      <c r="F1404" s="1">
        <v>3</v>
      </c>
      <c r="G1404" s="1">
        <v>10</v>
      </c>
      <c r="H1404" s="1">
        <v>4</v>
      </c>
      <c r="I1404" s="1">
        <v>1</v>
      </c>
      <c r="J1404" s="1">
        <v>5</v>
      </c>
      <c r="K1404" s="1">
        <v>6</v>
      </c>
      <c r="L1404" s="1">
        <v>2</v>
      </c>
      <c r="M1404" s="1">
        <v>1</v>
      </c>
      <c r="N1404" s="1">
        <v>3</v>
      </c>
      <c r="O1404" s="1">
        <v>0</v>
      </c>
      <c r="P1404" s="1">
        <v>2</v>
      </c>
      <c r="Q1404" s="1">
        <v>2</v>
      </c>
      <c r="R1404" s="1">
        <v>3</v>
      </c>
      <c r="S1404" s="1">
        <v>0</v>
      </c>
      <c r="T1404" s="1">
        <v>4</v>
      </c>
      <c r="U1404" s="1">
        <v>0</v>
      </c>
      <c r="V1404" s="1">
        <v>0</v>
      </c>
    </row>
    <row r="1405" spans="1:22" x14ac:dyDescent="0.2">
      <c r="A1405" s="1" t="s">
        <v>1146</v>
      </c>
      <c r="B1405" s="1" t="s">
        <v>1411</v>
      </c>
      <c r="C1405" s="1">
        <v>0</v>
      </c>
      <c r="D1405" s="1">
        <v>1</v>
      </c>
      <c r="E1405" s="1">
        <v>5</v>
      </c>
      <c r="F1405" s="1">
        <v>1</v>
      </c>
      <c r="G1405" s="1">
        <v>8</v>
      </c>
      <c r="H1405" s="1">
        <v>2</v>
      </c>
      <c r="I1405" s="1">
        <v>8</v>
      </c>
      <c r="J1405" s="1">
        <v>3</v>
      </c>
      <c r="K1405" s="1">
        <v>6</v>
      </c>
      <c r="L1405" s="1">
        <v>7</v>
      </c>
      <c r="M1405" s="1">
        <v>8</v>
      </c>
      <c r="N1405" s="1">
        <v>13</v>
      </c>
      <c r="O1405" s="1">
        <v>13</v>
      </c>
      <c r="P1405" s="1">
        <v>10</v>
      </c>
      <c r="Q1405" s="1">
        <v>12</v>
      </c>
      <c r="R1405" s="1">
        <v>12</v>
      </c>
      <c r="S1405" s="1">
        <v>14</v>
      </c>
      <c r="T1405" s="1">
        <v>23</v>
      </c>
      <c r="U1405" s="1">
        <v>35</v>
      </c>
      <c r="V1405" s="1">
        <v>45</v>
      </c>
    </row>
    <row r="1406" spans="1:22" x14ac:dyDescent="0.2">
      <c r="A1406" s="1" t="s">
        <v>1146</v>
      </c>
      <c r="B1406" s="1" t="s">
        <v>1412</v>
      </c>
      <c r="C1406" s="1">
        <v>0</v>
      </c>
      <c r="D1406" s="1">
        <v>0</v>
      </c>
      <c r="E1406" s="1">
        <v>0</v>
      </c>
      <c r="F1406" s="1">
        <v>0</v>
      </c>
      <c r="G1406" s="1">
        <v>0</v>
      </c>
      <c r="H1406" s="1">
        <v>0</v>
      </c>
      <c r="I1406" s="1">
        <v>1</v>
      </c>
      <c r="J1406" s="1">
        <v>1</v>
      </c>
      <c r="K1406" s="1">
        <v>5</v>
      </c>
      <c r="L1406" s="1">
        <v>1</v>
      </c>
      <c r="M1406" s="1">
        <v>1</v>
      </c>
      <c r="N1406" s="1">
        <v>2</v>
      </c>
      <c r="O1406" s="1">
        <v>0</v>
      </c>
      <c r="P1406" s="1">
        <v>0</v>
      </c>
      <c r="Q1406" s="1">
        <v>1</v>
      </c>
      <c r="R1406" s="1">
        <v>0</v>
      </c>
      <c r="S1406" s="1">
        <v>1</v>
      </c>
      <c r="T1406" s="1">
        <v>0</v>
      </c>
      <c r="U1406" s="1">
        <v>0</v>
      </c>
      <c r="V1406" s="1">
        <v>0</v>
      </c>
    </row>
    <row r="1407" spans="1:22" x14ac:dyDescent="0.2">
      <c r="A1407" s="1" t="s">
        <v>1146</v>
      </c>
      <c r="B1407" s="1" t="s">
        <v>1413</v>
      </c>
      <c r="C1407" s="1">
        <v>5</v>
      </c>
      <c r="D1407" s="1">
        <v>11</v>
      </c>
      <c r="E1407" s="1">
        <v>9</v>
      </c>
      <c r="F1407" s="1">
        <v>10</v>
      </c>
      <c r="G1407" s="1">
        <v>5</v>
      </c>
      <c r="H1407" s="1">
        <v>3</v>
      </c>
      <c r="I1407" s="1">
        <v>12</v>
      </c>
      <c r="J1407" s="1">
        <v>10</v>
      </c>
      <c r="K1407" s="1">
        <v>11</v>
      </c>
      <c r="L1407" s="1">
        <v>11</v>
      </c>
      <c r="M1407" s="1">
        <v>4</v>
      </c>
      <c r="N1407" s="1">
        <v>3</v>
      </c>
      <c r="O1407" s="1">
        <v>5</v>
      </c>
      <c r="P1407" s="1">
        <v>8</v>
      </c>
      <c r="Q1407" s="1">
        <v>5</v>
      </c>
      <c r="R1407" s="1">
        <v>7</v>
      </c>
      <c r="S1407" s="1">
        <v>6</v>
      </c>
      <c r="T1407" s="1">
        <v>9</v>
      </c>
      <c r="U1407" s="1">
        <v>6</v>
      </c>
      <c r="V1407" s="1">
        <v>10</v>
      </c>
    </row>
    <row r="1408" spans="1:22" x14ac:dyDescent="0.2">
      <c r="A1408" s="1" t="s">
        <v>1146</v>
      </c>
      <c r="B1408" s="1" t="s">
        <v>1414</v>
      </c>
      <c r="C1408" s="1">
        <v>239</v>
      </c>
      <c r="D1408" s="1">
        <v>115</v>
      </c>
      <c r="E1408" s="1">
        <v>161</v>
      </c>
      <c r="F1408" s="1">
        <v>144</v>
      </c>
      <c r="G1408" s="1">
        <v>174</v>
      </c>
      <c r="H1408" s="1">
        <v>161</v>
      </c>
      <c r="I1408" s="1">
        <v>119</v>
      </c>
      <c r="J1408" s="1">
        <v>94</v>
      </c>
      <c r="K1408" s="1">
        <v>116</v>
      </c>
      <c r="L1408" s="1">
        <v>135</v>
      </c>
      <c r="M1408" s="1">
        <v>166</v>
      </c>
      <c r="N1408" s="1">
        <v>231</v>
      </c>
      <c r="O1408" s="1">
        <v>234</v>
      </c>
      <c r="P1408" s="1">
        <v>244</v>
      </c>
      <c r="Q1408" s="1">
        <v>157</v>
      </c>
      <c r="R1408" s="1">
        <v>146</v>
      </c>
      <c r="S1408" s="1">
        <v>153</v>
      </c>
      <c r="T1408" s="1">
        <v>235</v>
      </c>
      <c r="U1408" s="1">
        <v>137</v>
      </c>
      <c r="V1408" s="1">
        <v>177</v>
      </c>
    </row>
    <row r="1409" spans="1:22" x14ac:dyDescent="0.2">
      <c r="A1409" s="1" t="s">
        <v>1146</v>
      </c>
      <c r="B1409" s="1" t="s">
        <v>1415</v>
      </c>
      <c r="C1409" s="1">
        <v>0</v>
      </c>
      <c r="D1409" s="1">
        <v>0</v>
      </c>
      <c r="E1409" s="1">
        <v>0</v>
      </c>
      <c r="F1409" s="1">
        <v>0</v>
      </c>
      <c r="G1409" s="1">
        <v>0</v>
      </c>
      <c r="H1409" s="1">
        <v>0</v>
      </c>
      <c r="I1409" s="1">
        <v>0</v>
      </c>
      <c r="J1409" s="1">
        <v>0</v>
      </c>
      <c r="K1409" s="1">
        <v>0</v>
      </c>
      <c r="L1409" s="1">
        <v>0</v>
      </c>
      <c r="M1409" s="1">
        <v>0</v>
      </c>
      <c r="N1409" s="1">
        <v>0</v>
      </c>
      <c r="O1409" s="1">
        <v>0</v>
      </c>
      <c r="P1409" s="1">
        <v>0</v>
      </c>
      <c r="Q1409" s="1">
        <v>1</v>
      </c>
      <c r="R1409" s="1">
        <v>2</v>
      </c>
      <c r="S1409" s="1">
        <v>0</v>
      </c>
      <c r="T1409" s="1">
        <v>0</v>
      </c>
      <c r="U1409" s="1">
        <v>0</v>
      </c>
      <c r="V1409" s="1">
        <v>6</v>
      </c>
    </row>
    <row r="1410" spans="1:22" x14ac:dyDescent="0.2">
      <c r="A1410" s="1" t="s">
        <v>1146</v>
      </c>
      <c r="B1410" s="1" t="s">
        <v>1416</v>
      </c>
      <c r="C1410" s="1">
        <v>27</v>
      </c>
      <c r="D1410" s="1">
        <v>39</v>
      </c>
      <c r="E1410" s="1">
        <v>28</v>
      </c>
      <c r="F1410" s="1">
        <v>24</v>
      </c>
      <c r="G1410" s="1">
        <v>21</v>
      </c>
      <c r="H1410" s="1">
        <v>19</v>
      </c>
      <c r="I1410" s="1">
        <v>15</v>
      </c>
      <c r="J1410" s="1">
        <v>20</v>
      </c>
      <c r="K1410" s="1">
        <v>40</v>
      </c>
      <c r="L1410" s="1">
        <v>22</v>
      </c>
      <c r="M1410" s="1">
        <v>28</v>
      </c>
      <c r="N1410" s="1">
        <v>47</v>
      </c>
      <c r="O1410" s="1">
        <v>41</v>
      </c>
      <c r="P1410" s="1">
        <v>35</v>
      </c>
      <c r="Q1410" s="1">
        <v>21</v>
      </c>
      <c r="R1410" s="1">
        <v>22</v>
      </c>
      <c r="S1410" s="1">
        <v>21</v>
      </c>
      <c r="T1410" s="1">
        <v>34</v>
      </c>
      <c r="U1410" s="1">
        <v>34</v>
      </c>
      <c r="V1410" s="1">
        <v>54</v>
      </c>
    </row>
    <row r="1411" spans="1:22" x14ac:dyDescent="0.2">
      <c r="A1411" s="1" t="s">
        <v>1146</v>
      </c>
      <c r="B1411" s="1" t="s">
        <v>1417</v>
      </c>
      <c r="C1411" s="1">
        <v>30</v>
      </c>
      <c r="D1411" s="1">
        <v>41</v>
      </c>
      <c r="E1411" s="1">
        <v>48</v>
      </c>
      <c r="F1411" s="1">
        <v>41</v>
      </c>
      <c r="G1411" s="1">
        <v>58</v>
      </c>
      <c r="H1411" s="1">
        <v>49</v>
      </c>
      <c r="I1411" s="1">
        <v>62</v>
      </c>
      <c r="J1411" s="1">
        <v>49</v>
      </c>
      <c r="K1411" s="1">
        <v>44</v>
      </c>
      <c r="L1411" s="1">
        <v>60</v>
      </c>
      <c r="M1411" s="1">
        <v>45</v>
      </c>
      <c r="N1411" s="1">
        <v>81</v>
      </c>
      <c r="O1411" s="1">
        <v>105</v>
      </c>
      <c r="P1411" s="1">
        <v>81</v>
      </c>
      <c r="Q1411" s="1">
        <v>39</v>
      </c>
      <c r="R1411" s="1">
        <v>56</v>
      </c>
      <c r="S1411" s="1">
        <v>60</v>
      </c>
      <c r="T1411" s="1">
        <v>67</v>
      </c>
      <c r="U1411" s="1">
        <v>130</v>
      </c>
      <c r="V1411" s="1">
        <v>140</v>
      </c>
    </row>
    <row r="1412" spans="1:22" x14ac:dyDescent="0.2">
      <c r="A1412" s="1" t="s">
        <v>1146</v>
      </c>
      <c r="B1412" s="1" t="s">
        <v>1418</v>
      </c>
      <c r="C1412" s="1">
        <v>0</v>
      </c>
      <c r="D1412" s="1">
        <v>0</v>
      </c>
      <c r="E1412" s="1">
        <v>0</v>
      </c>
      <c r="F1412" s="1">
        <v>0</v>
      </c>
      <c r="G1412" s="1">
        <v>0</v>
      </c>
      <c r="H1412" s="1">
        <v>0</v>
      </c>
      <c r="I1412" s="1">
        <v>0</v>
      </c>
      <c r="J1412" s="1">
        <v>0</v>
      </c>
      <c r="K1412" s="1">
        <v>1</v>
      </c>
      <c r="L1412" s="1">
        <v>0</v>
      </c>
      <c r="M1412" s="1">
        <v>0</v>
      </c>
      <c r="N1412" s="1">
        <v>0</v>
      </c>
      <c r="O1412" s="1">
        <v>0</v>
      </c>
      <c r="P1412" s="1">
        <v>1</v>
      </c>
      <c r="Q1412" s="1">
        <v>0</v>
      </c>
      <c r="R1412" s="1">
        <v>0</v>
      </c>
      <c r="S1412" s="1">
        <v>0</v>
      </c>
      <c r="T1412" s="1">
        <v>0</v>
      </c>
      <c r="U1412" s="1">
        <v>0</v>
      </c>
      <c r="V1412" s="1">
        <v>0</v>
      </c>
    </row>
    <row r="1413" spans="1:22" x14ac:dyDescent="0.2">
      <c r="A1413" s="1" t="s">
        <v>1146</v>
      </c>
      <c r="B1413" s="1" t="s">
        <v>1419</v>
      </c>
      <c r="C1413" s="1">
        <v>0</v>
      </c>
      <c r="D1413" s="1">
        <v>0</v>
      </c>
      <c r="E1413" s="1">
        <v>0</v>
      </c>
      <c r="F1413" s="1">
        <v>0</v>
      </c>
      <c r="G1413" s="1">
        <v>0</v>
      </c>
      <c r="H1413" s="1">
        <v>0</v>
      </c>
      <c r="I1413" s="1">
        <v>0</v>
      </c>
      <c r="J1413" s="1">
        <v>0</v>
      </c>
      <c r="K1413" s="1">
        <v>1</v>
      </c>
      <c r="L1413" s="1">
        <v>0</v>
      </c>
      <c r="M1413" s="1">
        <v>0</v>
      </c>
      <c r="N1413" s="1">
        <v>0</v>
      </c>
      <c r="O1413" s="1">
        <v>0</v>
      </c>
      <c r="P1413" s="1">
        <v>0</v>
      </c>
      <c r="Q1413" s="1">
        <v>0</v>
      </c>
      <c r="R1413" s="1">
        <v>2</v>
      </c>
      <c r="S1413" s="1">
        <v>2</v>
      </c>
      <c r="T1413" s="1">
        <v>1</v>
      </c>
      <c r="U1413" s="1">
        <v>1</v>
      </c>
      <c r="V1413" s="1">
        <v>0</v>
      </c>
    </row>
    <row r="1414" spans="1:22" x14ac:dyDescent="0.2">
      <c r="A1414" s="1" t="s">
        <v>1146</v>
      </c>
      <c r="B1414" s="1" t="s">
        <v>1420</v>
      </c>
      <c r="C1414" s="1">
        <f>SUM(C1415:C1428)</f>
        <v>4</v>
      </c>
      <c r="D1414" s="1">
        <f>SUM(D1415:D1428)</f>
        <v>6</v>
      </c>
      <c r="E1414" s="1">
        <f>SUM(E1415:E1428)</f>
        <v>4</v>
      </c>
      <c r="F1414" s="1">
        <f>SUM(F1415:F1428)</f>
        <v>4</v>
      </c>
      <c r="G1414" s="1">
        <f t="shared" ref="G1414:N1414" si="251">SUM(G1415:G1428)</f>
        <v>8</v>
      </c>
      <c r="H1414" s="1">
        <f t="shared" si="251"/>
        <v>23</v>
      </c>
      <c r="I1414" s="1">
        <f t="shared" si="251"/>
        <v>21</v>
      </c>
      <c r="J1414" s="1">
        <f t="shared" si="251"/>
        <v>26</v>
      </c>
      <c r="K1414" s="1">
        <f t="shared" si="251"/>
        <v>32</v>
      </c>
      <c r="L1414" s="1">
        <f t="shared" si="251"/>
        <v>23</v>
      </c>
      <c r="M1414" s="1">
        <f t="shared" si="251"/>
        <v>38</v>
      </c>
      <c r="N1414" s="1">
        <f t="shared" si="251"/>
        <v>65</v>
      </c>
      <c r="O1414" s="1">
        <f t="shared" ref="O1414:V1414" si="252">SUM(O1415:O1428)</f>
        <v>55</v>
      </c>
      <c r="P1414" s="1">
        <f t="shared" si="252"/>
        <v>52</v>
      </c>
      <c r="Q1414" s="1">
        <f t="shared" si="252"/>
        <v>59</v>
      </c>
      <c r="R1414" s="1">
        <f t="shared" si="252"/>
        <v>85</v>
      </c>
      <c r="S1414" s="1">
        <f t="shared" si="252"/>
        <v>75</v>
      </c>
      <c r="T1414" s="1">
        <f t="shared" si="252"/>
        <v>112</v>
      </c>
      <c r="U1414" s="1">
        <f t="shared" si="252"/>
        <v>100</v>
      </c>
      <c r="V1414" s="1">
        <f t="shared" si="252"/>
        <v>169</v>
      </c>
    </row>
    <row r="1415" spans="1:22" x14ac:dyDescent="0.2">
      <c r="A1415" s="1" t="s">
        <v>1146</v>
      </c>
      <c r="B1415" s="1" t="s">
        <v>1421</v>
      </c>
      <c r="C1415" s="1">
        <v>0</v>
      </c>
      <c r="D1415" s="1">
        <v>0</v>
      </c>
      <c r="E1415" s="1">
        <v>0</v>
      </c>
      <c r="F1415" s="1">
        <v>0</v>
      </c>
      <c r="G1415" s="1">
        <v>0</v>
      </c>
      <c r="H1415" s="1">
        <v>0</v>
      </c>
      <c r="I1415" s="1">
        <v>0</v>
      </c>
      <c r="J1415" s="1">
        <v>0</v>
      </c>
      <c r="K1415" s="1">
        <v>0</v>
      </c>
      <c r="L1415" s="1">
        <v>0</v>
      </c>
      <c r="M1415" s="1">
        <v>0</v>
      </c>
      <c r="N1415" s="1">
        <v>1</v>
      </c>
      <c r="O1415" s="1">
        <v>0</v>
      </c>
      <c r="P1415" s="1">
        <v>0</v>
      </c>
      <c r="Q1415" s="1">
        <v>2</v>
      </c>
      <c r="R1415" s="1">
        <v>0</v>
      </c>
      <c r="S1415" s="1">
        <v>2</v>
      </c>
      <c r="T1415" s="1">
        <v>3</v>
      </c>
      <c r="U1415" s="1">
        <v>1</v>
      </c>
      <c r="V1415" s="1">
        <v>2</v>
      </c>
    </row>
    <row r="1416" spans="1:22" x14ac:dyDescent="0.2">
      <c r="A1416" s="1" t="s">
        <v>1146</v>
      </c>
      <c r="B1416" s="1" t="s">
        <v>1422</v>
      </c>
      <c r="C1416" s="1">
        <v>0</v>
      </c>
      <c r="D1416" s="1">
        <v>0</v>
      </c>
      <c r="E1416" s="1">
        <v>0</v>
      </c>
      <c r="F1416" s="1">
        <v>0</v>
      </c>
      <c r="G1416" s="1">
        <v>0</v>
      </c>
      <c r="H1416" s="1">
        <v>0</v>
      </c>
      <c r="I1416" s="1">
        <v>0</v>
      </c>
      <c r="J1416" s="1">
        <v>0</v>
      </c>
      <c r="K1416" s="1">
        <v>0</v>
      </c>
      <c r="L1416" s="1">
        <v>0</v>
      </c>
      <c r="M1416" s="1">
        <v>0</v>
      </c>
      <c r="N1416" s="1">
        <v>0</v>
      </c>
      <c r="O1416" s="1">
        <v>0</v>
      </c>
      <c r="P1416" s="1">
        <v>0</v>
      </c>
      <c r="Q1416" s="1">
        <v>0</v>
      </c>
      <c r="R1416" s="1">
        <v>0</v>
      </c>
      <c r="S1416" s="1">
        <v>0</v>
      </c>
      <c r="T1416" s="1">
        <v>31</v>
      </c>
      <c r="U1416" s="1">
        <v>0</v>
      </c>
      <c r="V1416" s="1">
        <v>0</v>
      </c>
    </row>
    <row r="1417" spans="1:22" x14ac:dyDescent="0.2">
      <c r="A1417" s="1" t="s">
        <v>1146</v>
      </c>
      <c r="B1417" s="1" t="s">
        <v>1423</v>
      </c>
      <c r="C1417" s="1">
        <v>0</v>
      </c>
      <c r="D1417" s="1">
        <v>0</v>
      </c>
      <c r="E1417" s="1">
        <v>0</v>
      </c>
      <c r="F1417" s="1">
        <v>0</v>
      </c>
      <c r="G1417" s="1">
        <v>0</v>
      </c>
      <c r="H1417" s="1">
        <v>0</v>
      </c>
      <c r="I1417" s="1">
        <v>0</v>
      </c>
      <c r="J1417" s="1">
        <v>0</v>
      </c>
      <c r="K1417" s="1">
        <v>0</v>
      </c>
      <c r="L1417" s="1">
        <v>0</v>
      </c>
      <c r="M1417" s="1">
        <v>0</v>
      </c>
      <c r="N1417" s="1">
        <v>4</v>
      </c>
      <c r="O1417" s="1">
        <v>2</v>
      </c>
      <c r="P1417" s="1">
        <v>0</v>
      </c>
      <c r="Q1417" s="1">
        <v>1</v>
      </c>
      <c r="R1417" s="1">
        <v>2</v>
      </c>
      <c r="S1417" s="1">
        <v>0</v>
      </c>
      <c r="T1417" s="1">
        <v>0</v>
      </c>
      <c r="U1417" s="1">
        <v>0</v>
      </c>
      <c r="V1417" s="1">
        <v>0</v>
      </c>
    </row>
    <row r="1418" spans="1:22" x14ac:dyDescent="0.2">
      <c r="A1418" s="1" t="s">
        <v>1146</v>
      </c>
      <c r="B1418" s="1" t="s">
        <v>1424</v>
      </c>
      <c r="C1418" s="1">
        <v>0</v>
      </c>
      <c r="D1418" s="1">
        <v>0</v>
      </c>
      <c r="E1418" s="1">
        <v>0</v>
      </c>
      <c r="F1418" s="1">
        <v>0</v>
      </c>
      <c r="G1418" s="1">
        <v>0</v>
      </c>
      <c r="H1418" s="1">
        <v>0</v>
      </c>
      <c r="I1418" s="1">
        <v>0</v>
      </c>
      <c r="J1418" s="1">
        <v>0</v>
      </c>
      <c r="K1418" s="1">
        <v>0</v>
      </c>
      <c r="L1418" s="1">
        <v>0</v>
      </c>
      <c r="M1418" s="1">
        <v>0</v>
      </c>
      <c r="N1418" s="1">
        <v>1</v>
      </c>
      <c r="O1418" s="1">
        <v>1</v>
      </c>
      <c r="P1418" s="1">
        <v>2</v>
      </c>
      <c r="Q1418" s="1">
        <v>2</v>
      </c>
      <c r="R1418" s="1">
        <v>0</v>
      </c>
      <c r="S1418" s="1">
        <v>1</v>
      </c>
      <c r="T1418" s="1">
        <v>2</v>
      </c>
      <c r="U1418" s="1">
        <v>10</v>
      </c>
      <c r="V1418" s="1">
        <v>5</v>
      </c>
    </row>
    <row r="1419" spans="1:22" x14ac:dyDescent="0.2">
      <c r="A1419" s="1" t="s">
        <v>1146</v>
      </c>
      <c r="B1419" s="1" t="s">
        <v>1425</v>
      </c>
      <c r="C1419" s="1">
        <v>0</v>
      </c>
      <c r="D1419" s="1">
        <v>0</v>
      </c>
      <c r="E1419" s="1">
        <v>0</v>
      </c>
      <c r="F1419" s="1">
        <v>0</v>
      </c>
      <c r="G1419" s="1">
        <v>0</v>
      </c>
      <c r="H1419" s="1">
        <v>0</v>
      </c>
      <c r="I1419" s="1">
        <v>0</v>
      </c>
      <c r="J1419" s="1">
        <v>0</v>
      </c>
      <c r="K1419" s="1">
        <v>0</v>
      </c>
      <c r="L1419" s="1">
        <v>0</v>
      </c>
      <c r="M1419" s="1">
        <v>0</v>
      </c>
      <c r="N1419" s="1">
        <v>0</v>
      </c>
      <c r="O1419" s="1">
        <v>0</v>
      </c>
      <c r="P1419" s="1">
        <v>2</v>
      </c>
      <c r="Q1419" s="1">
        <v>2</v>
      </c>
      <c r="R1419" s="1">
        <v>1</v>
      </c>
      <c r="S1419" s="1">
        <v>4</v>
      </c>
      <c r="T1419" s="1">
        <v>4</v>
      </c>
      <c r="U1419" s="1">
        <v>9</v>
      </c>
      <c r="V1419" s="1">
        <v>11</v>
      </c>
    </row>
    <row r="1420" spans="1:22" x14ac:dyDescent="0.2">
      <c r="A1420" s="1" t="s">
        <v>1146</v>
      </c>
      <c r="B1420" s="1" t="s">
        <v>1426</v>
      </c>
      <c r="C1420" s="1">
        <v>0</v>
      </c>
      <c r="D1420" s="1">
        <v>0</v>
      </c>
      <c r="E1420" s="1">
        <v>0</v>
      </c>
      <c r="F1420" s="1">
        <v>0</v>
      </c>
      <c r="G1420" s="1">
        <v>0</v>
      </c>
      <c r="H1420" s="1">
        <v>0</v>
      </c>
      <c r="I1420" s="1">
        <v>0</v>
      </c>
      <c r="J1420" s="1">
        <v>0</v>
      </c>
      <c r="K1420" s="1">
        <v>0</v>
      </c>
      <c r="L1420" s="1">
        <v>0</v>
      </c>
      <c r="M1420" s="1">
        <v>0</v>
      </c>
      <c r="N1420" s="1">
        <v>0</v>
      </c>
      <c r="O1420" s="1">
        <v>0</v>
      </c>
      <c r="P1420" s="1">
        <v>0</v>
      </c>
      <c r="Q1420" s="1">
        <v>0</v>
      </c>
      <c r="R1420" s="1">
        <v>0</v>
      </c>
      <c r="S1420" s="1">
        <v>0</v>
      </c>
      <c r="T1420" s="1">
        <v>2</v>
      </c>
      <c r="U1420" s="1">
        <v>2</v>
      </c>
      <c r="V1420" s="1">
        <v>12</v>
      </c>
    </row>
    <row r="1421" spans="1:22" x14ac:dyDescent="0.2">
      <c r="A1421" s="1" t="s">
        <v>1146</v>
      </c>
      <c r="B1421" s="1" t="s">
        <v>1427</v>
      </c>
      <c r="C1421" s="1">
        <v>0</v>
      </c>
      <c r="D1421" s="1">
        <v>0</v>
      </c>
      <c r="E1421" s="1">
        <v>0</v>
      </c>
      <c r="F1421" s="1">
        <v>0</v>
      </c>
      <c r="G1421" s="1">
        <v>0</v>
      </c>
      <c r="H1421" s="1">
        <v>0</v>
      </c>
      <c r="I1421" s="1">
        <v>0</v>
      </c>
      <c r="J1421" s="1">
        <v>0</v>
      </c>
      <c r="K1421" s="1">
        <v>0</v>
      </c>
      <c r="L1421" s="1">
        <v>0</v>
      </c>
      <c r="M1421" s="1">
        <v>0</v>
      </c>
      <c r="N1421" s="1">
        <v>1</v>
      </c>
      <c r="O1421" s="1">
        <v>3</v>
      </c>
      <c r="P1421" s="1">
        <v>3</v>
      </c>
      <c r="Q1421" s="1">
        <v>1</v>
      </c>
      <c r="R1421" s="1">
        <v>12</v>
      </c>
      <c r="S1421" s="1">
        <v>5</v>
      </c>
      <c r="T1421" s="1">
        <v>15</v>
      </c>
      <c r="U1421" s="1">
        <v>13</v>
      </c>
      <c r="V1421" s="1">
        <v>20</v>
      </c>
    </row>
    <row r="1422" spans="1:22" x14ac:dyDescent="0.2">
      <c r="A1422" s="1" t="s">
        <v>1146</v>
      </c>
      <c r="B1422" s="1" t="s">
        <v>1428</v>
      </c>
      <c r="C1422" s="1">
        <v>0</v>
      </c>
      <c r="D1422" s="1">
        <v>0</v>
      </c>
      <c r="E1422" s="1">
        <v>0</v>
      </c>
      <c r="F1422" s="1">
        <v>0</v>
      </c>
      <c r="G1422" s="1">
        <v>0</v>
      </c>
      <c r="H1422" s="1">
        <v>0</v>
      </c>
      <c r="I1422" s="1">
        <v>0</v>
      </c>
      <c r="J1422" s="1">
        <v>0</v>
      </c>
      <c r="K1422" s="1">
        <v>0</v>
      </c>
      <c r="L1422" s="1">
        <v>0</v>
      </c>
      <c r="M1422" s="1">
        <v>0</v>
      </c>
      <c r="N1422" s="1">
        <v>0</v>
      </c>
      <c r="O1422" s="1">
        <v>0</v>
      </c>
      <c r="P1422" s="1">
        <v>3</v>
      </c>
      <c r="Q1422" s="1">
        <v>2</v>
      </c>
      <c r="R1422" s="1">
        <v>2</v>
      </c>
      <c r="S1422" s="1">
        <v>2</v>
      </c>
      <c r="T1422" s="1">
        <v>6</v>
      </c>
      <c r="U1422" s="1">
        <v>4</v>
      </c>
      <c r="V1422" s="1">
        <v>2</v>
      </c>
    </row>
    <row r="1423" spans="1:22" x14ac:dyDescent="0.2">
      <c r="A1423" s="1" t="s">
        <v>1146</v>
      </c>
      <c r="B1423" s="1" t="s">
        <v>1429</v>
      </c>
      <c r="C1423" s="1">
        <v>0</v>
      </c>
      <c r="D1423" s="1">
        <v>0</v>
      </c>
      <c r="E1423" s="1">
        <v>0</v>
      </c>
      <c r="F1423" s="1">
        <v>0</v>
      </c>
      <c r="G1423" s="1">
        <v>0</v>
      </c>
      <c r="H1423" s="1">
        <v>0</v>
      </c>
      <c r="I1423" s="1">
        <v>0</v>
      </c>
      <c r="J1423" s="1">
        <v>0</v>
      </c>
      <c r="K1423" s="1">
        <v>0</v>
      </c>
      <c r="L1423" s="1">
        <v>0</v>
      </c>
      <c r="M1423" s="1">
        <v>0</v>
      </c>
      <c r="N1423" s="1">
        <v>0</v>
      </c>
      <c r="O1423" s="1">
        <v>4</v>
      </c>
      <c r="P1423" s="1">
        <v>1</v>
      </c>
      <c r="Q1423" s="1">
        <v>0</v>
      </c>
      <c r="R1423" s="1">
        <v>4</v>
      </c>
      <c r="S1423" s="1">
        <v>3</v>
      </c>
      <c r="T1423" s="1">
        <v>2</v>
      </c>
      <c r="U1423" s="1">
        <v>6</v>
      </c>
      <c r="V1423" s="1">
        <v>6</v>
      </c>
    </row>
    <row r="1424" spans="1:22" x14ac:dyDescent="0.2">
      <c r="A1424" s="1" t="s">
        <v>1146</v>
      </c>
      <c r="B1424" s="1" t="s">
        <v>1430</v>
      </c>
      <c r="C1424" s="1">
        <v>0</v>
      </c>
      <c r="D1424" s="1">
        <v>0</v>
      </c>
      <c r="E1424" s="1">
        <v>0</v>
      </c>
      <c r="F1424" s="1">
        <v>0</v>
      </c>
      <c r="G1424" s="1">
        <v>0</v>
      </c>
      <c r="H1424" s="1">
        <v>0</v>
      </c>
      <c r="I1424" s="1">
        <v>0</v>
      </c>
      <c r="J1424" s="1">
        <v>0</v>
      </c>
      <c r="K1424" s="1">
        <v>0</v>
      </c>
      <c r="L1424" s="1">
        <v>0</v>
      </c>
      <c r="M1424" s="1">
        <v>0</v>
      </c>
      <c r="N1424" s="1">
        <v>2</v>
      </c>
      <c r="O1424" s="1">
        <v>4</v>
      </c>
      <c r="P1424" s="1">
        <v>3</v>
      </c>
      <c r="Q1424" s="1">
        <v>3</v>
      </c>
      <c r="R1424" s="1">
        <v>7</v>
      </c>
      <c r="S1424" s="1">
        <v>3</v>
      </c>
      <c r="T1424" s="1">
        <v>3</v>
      </c>
      <c r="U1424" s="1">
        <v>5</v>
      </c>
      <c r="V1424" s="1">
        <v>8</v>
      </c>
    </row>
    <row r="1425" spans="1:22" x14ac:dyDescent="0.2">
      <c r="A1425" s="1" t="s">
        <v>1146</v>
      </c>
      <c r="B1425" s="1" t="s">
        <v>1431</v>
      </c>
      <c r="C1425" s="1">
        <v>0</v>
      </c>
      <c r="D1425" s="1">
        <v>0</v>
      </c>
      <c r="E1425" s="1">
        <v>0</v>
      </c>
      <c r="F1425" s="1">
        <v>0</v>
      </c>
      <c r="G1425" s="1">
        <v>0</v>
      </c>
      <c r="H1425" s="1">
        <v>0</v>
      </c>
      <c r="I1425" s="1">
        <v>0</v>
      </c>
      <c r="J1425" s="1">
        <v>0</v>
      </c>
      <c r="K1425" s="1">
        <v>0</v>
      </c>
      <c r="L1425" s="1">
        <v>0</v>
      </c>
      <c r="M1425" s="1">
        <v>0</v>
      </c>
      <c r="N1425" s="1">
        <v>1</v>
      </c>
      <c r="O1425" s="1">
        <v>0</v>
      </c>
      <c r="P1425" s="1">
        <v>0</v>
      </c>
      <c r="Q1425" s="1">
        <v>1</v>
      </c>
      <c r="R1425" s="1">
        <v>0</v>
      </c>
      <c r="S1425" s="1">
        <v>0</v>
      </c>
      <c r="T1425" s="1">
        <v>2</v>
      </c>
      <c r="U1425" s="1">
        <v>1</v>
      </c>
      <c r="V1425" s="1">
        <v>5</v>
      </c>
    </row>
    <row r="1426" spans="1:22" x14ac:dyDescent="0.2">
      <c r="A1426" s="1" t="s">
        <v>1146</v>
      </c>
      <c r="B1426" s="1" t="s">
        <v>1432</v>
      </c>
      <c r="C1426" s="1">
        <v>0</v>
      </c>
      <c r="D1426" s="1">
        <v>0</v>
      </c>
      <c r="E1426" s="1">
        <v>0</v>
      </c>
      <c r="F1426" s="1">
        <v>0</v>
      </c>
      <c r="G1426" s="1">
        <v>0</v>
      </c>
      <c r="H1426" s="1">
        <v>2</v>
      </c>
      <c r="I1426" s="1">
        <v>0</v>
      </c>
      <c r="J1426" s="1">
        <v>0</v>
      </c>
      <c r="K1426" s="1">
        <v>2</v>
      </c>
      <c r="L1426" s="1">
        <v>0</v>
      </c>
      <c r="M1426" s="1">
        <v>0</v>
      </c>
      <c r="N1426" s="1">
        <v>10</v>
      </c>
      <c r="O1426" s="1">
        <v>6</v>
      </c>
      <c r="P1426" s="1">
        <v>16</v>
      </c>
      <c r="Q1426" s="1">
        <v>18</v>
      </c>
      <c r="R1426" s="1">
        <v>20</v>
      </c>
      <c r="S1426" s="1">
        <v>22</v>
      </c>
      <c r="T1426" s="1">
        <v>42</v>
      </c>
      <c r="U1426" s="1">
        <v>49</v>
      </c>
      <c r="V1426" s="1">
        <v>42</v>
      </c>
    </row>
    <row r="1427" spans="1:22" x14ac:dyDescent="0.2">
      <c r="A1427" s="1" t="s">
        <v>1146</v>
      </c>
      <c r="B1427" s="1" t="s">
        <v>1433</v>
      </c>
      <c r="C1427" s="1">
        <v>0</v>
      </c>
      <c r="D1427" s="1">
        <v>0</v>
      </c>
      <c r="E1427" s="1">
        <v>0</v>
      </c>
      <c r="F1427" s="1">
        <v>0</v>
      </c>
      <c r="G1427" s="1">
        <v>0</v>
      </c>
      <c r="H1427" s="1">
        <v>0</v>
      </c>
      <c r="I1427" s="1">
        <v>0</v>
      </c>
      <c r="J1427" s="1">
        <v>0</v>
      </c>
      <c r="K1427" s="1">
        <v>0</v>
      </c>
      <c r="L1427" s="1">
        <v>0</v>
      </c>
      <c r="M1427" s="1">
        <v>0</v>
      </c>
      <c r="N1427" s="1">
        <v>1</v>
      </c>
      <c r="O1427" s="1">
        <v>1</v>
      </c>
      <c r="P1427" s="1">
        <v>4</v>
      </c>
      <c r="Q1427" s="1">
        <v>6</v>
      </c>
      <c r="R1427" s="1">
        <v>4</v>
      </c>
      <c r="S1427" s="1">
        <v>2</v>
      </c>
      <c r="T1427" s="1">
        <v>0</v>
      </c>
      <c r="U1427" s="1">
        <v>0</v>
      </c>
      <c r="V1427" s="1">
        <v>1</v>
      </c>
    </row>
    <row r="1428" spans="1:22" x14ac:dyDescent="0.2">
      <c r="A1428" s="1" t="s">
        <v>1146</v>
      </c>
      <c r="B1428" s="1" t="s">
        <v>1434</v>
      </c>
      <c r="C1428" s="1">
        <v>4</v>
      </c>
      <c r="D1428" s="1">
        <v>6</v>
      </c>
      <c r="E1428" s="1">
        <v>4</v>
      </c>
      <c r="F1428" s="1">
        <v>4</v>
      </c>
      <c r="G1428" s="1">
        <v>8</v>
      </c>
      <c r="H1428" s="1">
        <v>21</v>
      </c>
      <c r="I1428" s="1">
        <v>21</v>
      </c>
      <c r="J1428" s="1">
        <v>26</v>
      </c>
      <c r="K1428" s="1">
        <v>30</v>
      </c>
      <c r="L1428" s="1">
        <v>23</v>
      </c>
      <c r="M1428" s="1">
        <v>38</v>
      </c>
      <c r="N1428" s="1">
        <v>44</v>
      </c>
      <c r="O1428" s="1">
        <v>34</v>
      </c>
      <c r="P1428" s="1">
        <v>18</v>
      </c>
      <c r="Q1428" s="1">
        <v>21</v>
      </c>
      <c r="R1428" s="1">
        <v>33</v>
      </c>
      <c r="S1428" s="1">
        <v>31</v>
      </c>
      <c r="T1428" s="1">
        <v>0</v>
      </c>
      <c r="U1428" s="1">
        <v>0</v>
      </c>
      <c r="V1428" s="1">
        <v>55</v>
      </c>
    </row>
    <row r="1429" spans="1:22" x14ac:dyDescent="0.2">
      <c r="A1429" s="1" t="s">
        <v>1146</v>
      </c>
      <c r="B1429" s="1" t="s">
        <v>1435</v>
      </c>
      <c r="C1429" s="1">
        <f>SUM(C1430:C1436)</f>
        <v>0</v>
      </c>
      <c r="D1429" s="1">
        <f>SUM(D1430:D1436)</f>
        <v>0</v>
      </c>
      <c r="E1429" s="1">
        <f>SUM(E1430:E1436)</f>
        <v>1</v>
      </c>
      <c r="F1429" s="1">
        <f>SUM(F1430:F1436)</f>
        <v>0</v>
      </c>
      <c r="G1429" s="1">
        <f t="shared" ref="G1429:R1429" si="253">SUM(G1430:G1436)</f>
        <v>1</v>
      </c>
      <c r="H1429" s="1">
        <f t="shared" si="253"/>
        <v>1</v>
      </c>
      <c r="I1429" s="1">
        <f t="shared" si="253"/>
        <v>1</v>
      </c>
      <c r="J1429" s="1">
        <f t="shared" si="253"/>
        <v>0</v>
      </c>
      <c r="K1429" s="1">
        <f t="shared" si="253"/>
        <v>1</v>
      </c>
      <c r="L1429" s="1">
        <f t="shared" si="253"/>
        <v>3</v>
      </c>
      <c r="M1429" s="1">
        <f t="shared" si="253"/>
        <v>4</v>
      </c>
      <c r="N1429" s="1">
        <f t="shared" si="253"/>
        <v>4</v>
      </c>
      <c r="O1429" s="1">
        <f t="shared" si="253"/>
        <v>4</v>
      </c>
      <c r="P1429" s="1">
        <f t="shared" si="253"/>
        <v>1</v>
      </c>
      <c r="Q1429" s="1">
        <f>SUM(Q1430:Q1436)</f>
        <v>1</v>
      </c>
      <c r="R1429" s="1">
        <f t="shared" si="253"/>
        <v>0</v>
      </c>
      <c r="S1429" s="1">
        <f>SUM(S1430:S1436)</f>
        <v>3</v>
      </c>
      <c r="T1429" s="1">
        <f>SUM(T1430:T1436)</f>
        <v>1</v>
      </c>
      <c r="U1429" s="1">
        <f>SUM(U1430:U1436)</f>
        <v>0</v>
      </c>
      <c r="V1429" s="1">
        <f>SUM(V1430:V1436)</f>
        <v>2</v>
      </c>
    </row>
    <row r="1430" spans="1:22" x14ac:dyDescent="0.2">
      <c r="A1430" s="1" t="s">
        <v>1146</v>
      </c>
      <c r="B1430" s="1" t="s">
        <v>1436</v>
      </c>
      <c r="C1430" s="1">
        <v>0</v>
      </c>
      <c r="D1430" s="1">
        <v>0</v>
      </c>
      <c r="E1430" s="1">
        <v>1</v>
      </c>
      <c r="F1430" s="1">
        <v>0</v>
      </c>
      <c r="G1430" s="1">
        <v>1</v>
      </c>
      <c r="H1430" s="1">
        <v>0</v>
      </c>
      <c r="I1430" s="1">
        <v>1</v>
      </c>
      <c r="J1430" s="1">
        <v>0</v>
      </c>
      <c r="K1430" s="1">
        <v>0</v>
      </c>
      <c r="L1430" s="1">
        <v>0</v>
      </c>
      <c r="M1430" s="1">
        <v>0</v>
      </c>
      <c r="N1430" s="1">
        <v>2</v>
      </c>
      <c r="O1430" s="1">
        <v>0</v>
      </c>
      <c r="P1430" s="1">
        <v>0</v>
      </c>
      <c r="Q1430" s="1">
        <v>0</v>
      </c>
      <c r="R1430" s="1">
        <v>0</v>
      </c>
      <c r="S1430" s="1">
        <v>0</v>
      </c>
      <c r="T1430" s="1">
        <v>0</v>
      </c>
      <c r="U1430" s="1">
        <v>0</v>
      </c>
      <c r="V1430" s="1">
        <v>1</v>
      </c>
    </row>
    <row r="1431" spans="1:22" x14ac:dyDescent="0.2">
      <c r="A1431" s="1" t="s">
        <v>1146</v>
      </c>
      <c r="B1431" s="1" t="s">
        <v>1437</v>
      </c>
      <c r="C1431" s="1">
        <v>0</v>
      </c>
      <c r="D1431" s="1">
        <v>0</v>
      </c>
      <c r="E1431" s="1">
        <v>0</v>
      </c>
      <c r="F1431" s="1">
        <v>0</v>
      </c>
      <c r="G1431" s="1">
        <v>0</v>
      </c>
      <c r="H1431" s="1">
        <v>0</v>
      </c>
      <c r="I1431" s="1">
        <v>0</v>
      </c>
      <c r="J1431" s="1">
        <v>0</v>
      </c>
      <c r="K1431" s="1">
        <v>0</v>
      </c>
      <c r="L1431" s="1">
        <v>2</v>
      </c>
      <c r="M1431" s="1">
        <v>2</v>
      </c>
      <c r="N1431" s="1">
        <v>1</v>
      </c>
      <c r="O1431" s="1">
        <v>0</v>
      </c>
      <c r="P1431" s="1">
        <v>0</v>
      </c>
      <c r="Q1431" s="1">
        <v>0</v>
      </c>
      <c r="R1431" s="1">
        <v>0</v>
      </c>
      <c r="S1431" s="1">
        <v>1</v>
      </c>
      <c r="T1431" s="1">
        <v>1</v>
      </c>
      <c r="U1431" s="1">
        <v>0</v>
      </c>
      <c r="V1431" s="1">
        <v>1</v>
      </c>
    </row>
    <row r="1432" spans="1:22" x14ac:dyDescent="0.2">
      <c r="A1432" s="1" t="s">
        <v>1146</v>
      </c>
      <c r="B1432" s="1" t="s">
        <v>1438</v>
      </c>
      <c r="C1432" s="1">
        <v>0</v>
      </c>
      <c r="D1432" s="1">
        <v>0</v>
      </c>
      <c r="E1432" s="1">
        <v>0</v>
      </c>
      <c r="F1432" s="1">
        <v>0</v>
      </c>
      <c r="G1432" s="1">
        <v>0</v>
      </c>
      <c r="H1432" s="1">
        <v>0</v>
      </c>
      <c r="I1432" s="1">
        <v>0</v>
      </c>
      <c r="J1432" s="1">
        <v>0</v>
      </c>
      <c r="K1432" s="1">
        <v>0</v>
      </c>
      <c r="L1432" s="1">
        <v>0</v>
      </c>
      <c r="M1432" s="1">
        <v>0</v>
      </c>
      <c r="N1432" s="1">
        <v>0</v>
      </c>
      <c r="O1432" s="1">
        <v>0</v>
      </c>
      <c r="P1432" s="1">
        <v>0</v>
      </c>
      <c r="Q1432" s="1">
        <v>0</v>
      </c>
      <c r="R1432" s="1">
        <v>0</v>
      </c>
      <c r="S1432" s="1">
        <v>2</v>
      </c>
      <c r="T1432" s="1">
        <v>0</v>
      </c>
      <c r="U1432" s="1">
        <v>0</v>
      </c>
      <c r="V1432" s="1">
        <v>0</v>
      </c>
    </row>
    <row r="1433" spans="1:22" x14ac:dyDescent="0.2">
      <c r="A1433" s="1" t="s">
        <v>1146</v>
      </c>
      <c r="B1433" s="1" t="s">
        <v>1439</v>
      </c>
      <c r="C1433" s="1">
        <v>0</v>
      </c>
      <c r="D1433" s="1">
        <v>0</v>
      </c>
      <c r="E1433" s="1">
        <v>0</v>
      </c>
      <c r="F1433" s="1">
        <v>0</v>
      </c>
      <c r="G1433" s="1">
        <v>0</v>
      </c>
      <c r="H1433" s="1">
        <v>0</v>
      </c>
      <c r="I1433" s="1">
        <v>0</v>
      </c>
      <c r="J1433" s="1">
        <v>0</v>
      </c>
      <c r="K1433" s="1">
        <v>0</v>
      </c>
      <c r="L1433" s="1">
        <v>0</v>
      </c>
      <c r="M1433" s="1">
        <v>0</v>
      </c>
      <c r="N1433" s="1">
        <v>0</v>
      </c>
      <c r="O1433" s="1">
        <v>1</v>
      </c>
      <c r="P1433" s="1">
        <v>1</v>
      </c>
      <c r="Q1433" s="1">
        <v>0</v>
      </c>
      <c r="R1433" s="1">
        <v>0</v>
      </c>
      <c r="S1433" s="1">
        <v>0</v>
      </c>
      <c r="T1433" s="1">
        <v>0</v>
      </c>
      <c r="U1433" s="1">
        <v>0</v>
      </c>
      <c r="V1433" s="1">
        <v>0</v>
      </c>
    </row>
    <row r="1434" spans="1:22" x14ac:dyDescent="0.2">
      <c r="A1434" s="1" t="s">
        <v>1146</v>
      </c>
      <c r="B1434" s="1" t="s">
        <v>1440</v>
      </c>
      <c r="C1434" s="1">
        <v>0</v>
      </c>
      <c r="D1434" s="1">
        <v>0</v>
      </c>
      <c r="E1434" s="1">
        <v>0</v>
      </c>
      <c r="F1434" s="1">
        <v>0</v>
      </c>
      <c r="G1434" s="1">
        <v>0</v>
      </c>
      <c r="H1434" s="1">
        <v>0</v>
      </c>
      <c r="I1434" s="1">
        <v>0</v>
      </c>
      <c r="J1434" s="1">
        <v>0</v>
      </c>
      <c r="K1434" s="1">
        <v>0</v>
      </c>
      <c r="L1434" s="1">
        <v>0</v>
      </c>
      <c r="M1434" s="1">
        <v>0</v>
      </c>
      <c r="N1434" s="1">
        <v>0</v>
      </c>
      <c r="O1434" s="1">
        <v>1</v>
      </c>
      <c r="P1434" s="1">
        <v>0</v>
      </c>
      <c r="Q1434" s="1">
        <v>0</v>
      </c>
      <c r="R1434" s="1">
        <v>0</v>
      </c>
      <c r="S1434" s="1">
        <v>0</v>
      </c>
      <c r="T1434" s="1">
        <v>0</v>
      </c>
      <c r="U1434" s="1">
        <v>0</v>
      </c>
      <c r="V1434" s="1">
        <v>0</v>
      </c>
    </row>
    <row r="1435" spans="1:22" x14ac:dyDescent="0.2">
      <c r="A1435" s="1" t="s">
        <v>1146</v>
      </c>
      <c r="B1435" s="1" t="s">
        <v>1441</v>
      </c>
      <c r="C1435" s="1">
        <v>0</v>
      </c>
      <c r="D1435" s="1">
        <v>0</v>
      </c>
      <c r="E1435" s="1">
        <v>0</v>
      </c>
      <c r="F1435" s="1">
        <v>0</v>
      </c>
      <c r="G1435" s="1">
        <v>0</v>
      </c>
      <c r="H1435" s="1">
        <v>0</v>
      </c>
      <c r="I1435" s="1">
        <v>0</v>
      </c>
      <c r="J1435" s="1">
        <v>0</v>
      </c>
      <c r="K1435" s="1">
        <v>0</v>
      </c>
      <c r="L1435" s="1">
        <v>0</v>
      </c>
      <c r="M1435" s="1">
        <v>0</v>
      </c>
      <c r="N1435" s="1">
        <v>0</v>
      </c>
      <c r="O1435" s="1">
        <v>0</v>
      </c>
      <c r="P1435" s="1">
        <v>0</v>
      </c>
      <c r="Q1435" s="1">
        <v>1</v>
      </c>
      <c r="R1435" s="1">
        <v>0</v>
      </c>
      <c r="S1435" s="1">
        <v>0</v>
      </c>
      <c r="T1435" s="1">
        <v>0</v>
      </c>
      <c r="U1435" s="1">
        <v>0</v>
      </c>
      <c r="V1435" s="1">
        <v>0</v>
      </c>
    </row>
    <row r="1436" spans="1:22" x14ac:dyDescent="0.2">
      <c r="A1436" s="1" t="s">
        <v>1146</v>
      </c>
      <c r="B1436" s="1" t="s">
        <v>1442</v>
      </c>
      <c r="C1436" s="1">
        <v>0</v>
      </c>
      <c r="D1436" s="1">
        <v>0</v>
      </c>
      <c r="E1436" s="1">
        <v>0</v>
      </c>
      <c r="F1436" s="1">
        <v>0</v>
      </c>
      <c r="G1436" s="1">
        <v>0</v>
      </c>
      <c r="H1436" s="1">
        <v>1</v>
      </c>
      <c r="I1436" s="1">
        <v>0</v>
      </c>
      <c r="J1436" s="1">
        <v>0</v>
      </c>
      <c r="K1436" s="1">
        <v>1</v>
      </c>
      <c r="L1436" s="1">
        <v>1</v>
      </c>
      <c r="M1436" s="1">
        <v>2</v>
      </c>
      <c r="N1436" s="1">
        <v>1</v>
      </c>
      <c r="O1436" s="1">
        <v>2</v>
      </c>
      <c r="P1436" s="1">
        <v>0</v>
      </c>
      <c r="Q1436" s="1">
        <v>0</v>
      </c>
      <c r="R1436" s="1">
        <v>0</v>
      </c>
      <c r="S1436" s="1">
        <v>0</v>
      </c>
      <c r="T1436" s="1">
        <v>0</v>
      </c>
      <c r="U1436" s="1">
        <v>0</v>
      </c>
      <c r="V1436" s="1">
        <v>0</v>
      </c>
    </row>
    <row r="1437" spans="1:22" x14ac:dyDescent="0.2">
      <c r="A1437" s="1" t="s">
        <v>1146</v>
      </c>
      <c r="B1437" s="1" t="s">
        <v>1443</v>
      </c>
      <c r="C1437" s="1">
        <f>SUM(C1438:C1451)</f>
        <v>4705</v>
      </c>
      <c r="D1437" s="1">
        <f>SUM(D1438:D1451)</f>
        <v>3609</v>
      </c>
      <c r="E1437" s="1">
        <f>SUM(E1438:E1451)</f>
        <v>3931</v>
      </c>
      <c r="F1437" s="1">
        <f>SUM(F1438:F1451)</f>
        <v>5683</v>
      </c>
      <c r="G1437" s="1">
        <f t="shared" ref="G1437:R1437" si="254">SUM(G1438:G1451)</f>
        <v>8735</v>
      </c>
      <c r="H1437" s="1">
        <f t="shared" si="254"/>
        <v>5085</v>
      </c>
      <c r="I1437" s="1">
        <f t="shared" si="254"/>
        <v>5521</v>
      </c>
      <c r="J1437" s="1">
        <f t="shared" si="254"/>
        <v>4001</v>
      </c>
      <c r="K1437" s="1">
        <f t="shared" si="254"/>
        <v>4462</v>
      </c>
      <c r="L1437" s="1">
        <f t="shared" si="254"/>
        <v>4649</v>
      </c>
      <c r="M1437" s="1">
        <f t="shared" si="254"/>
        <v>4228</v>
      </c>
      <c r="N1437" s="1">
        <f t="shared" si="254"/>
        <v>4112</v>
      </c>
      <c r="O1437" s="1">
        <f t="shared" si="254"/>
        <v>3053</v>
      </c>
      <c r="P1437" s="1">
        <f t="shared" si="254"/>
        <v>3110</v>
      </c>
      <c r="Q1437" s="1">
        <f t="shared" si="254"/>
        <v>3783</v>
      </c>
      <c r="R1437" s="1">
        <f t="shared" si="254"/>
        <v>3097</v>
      </c>
      <c r="S1437" s="1">
        <f>SUM(S1438:S1451)</f>
        <v>2922</v>
      </c>
      <c r="T1437" s="1">
        <f>SUM(T1438:T1451)</f>
        <v>2991</v>
      </c>
      <c r="U1437" s="1">
        <f>SUM(U1438:U1451)</f>
        <v>3190</v>
      </c>
      <c r="V1437" s="1">
        <f>SUM(V1438:V1451)</f>
        <v>3265</v>
      </c>
    </row>
    <row r="1438" spans="1:22" x14ac:dyDescent="0.2">
      <c r="A1438" s="1" t="s">
        <v>1146</v>
      </c>
      <c r="B1438" s="1" t="s">
        <v>1444</v>
      </c>
      <c r="C1438" s="1">
        <v>385</v>
      </c>
      <c r="D1438" s="1">
        <v>590</v>
      </c>
      <c r="E1438" s="1">
        <v>750</v>
      </c>
      <c r="F1438" s="1">
        <v>1354</v>
      </c>
      <c r="G1438" s="1">
        <v>3947</v>
      </c>
      <c r="H1438" s="1">
        <v>1538</v>
      </c>
      <c r="I1438" s="1">
        <v>1997</v>
      </c>
      <c r="J1438" s="1">
        <v>536</v>
      </c>
      <c r="K1438" s="1">
        <v>296</v>
      </c>
      <c r="L1438" s="1">
        <v>257</v>
      </c>
      <c r="M1438" s="1">
        <v>283</v>
      </c>
      <c r="N1438" s="1">
        <v>327</v>
      </c>
      <c r="O1438" s="1">
        <v>326</v>
      </c>
      <c r="P1438" s="1">
        <v>293</v>
      </c>
      <c r="Q1438" s="1">
        <v>296</v>
      </c>
      <c r="R1438" s="1">
        <v>291</v>
      </c>
      <c r="S1438" s="1">
        <v>207</v>
      </c>
      <c r="T1438" s="1">
        <v>211</v>
      </c>
      <c r="U1438" s="1">
        <v>181</v>
      </c>
      <c r="V1438" s="1">
        <v>228</v>
      </c>
    </row>
    <row r="1439" spans="1:22" x14ac:dyDescent="0.2">
      <c r="A1439" s="1" t="s">
        <v>1146</v>
      </c>
      <c r="B1439" s="1" t="s">
        <v>1445</v>
      </c>
      <c r="C1439" s="1">
        <v>0</v>
      </c>
      <c r="D1439" s="1">
        <v>0</v>
      </c>
      <c r="E1439" s="1">
        <v>0</v>
      </c>
      <c r="F1439" s="1">
        <v>0</v>
      </c>
      <c r="G1439" s="1">
        <v>0</v>
      </c>
      <c r="H1439" s="1">
        <v>3</v>
      </c>
      <c r="I1439" s="1">
        <v>2</v>
      </c>
      <c r="J1439" s="1">
        <v>1</v>
      </c>
      <c r="K1439" s="1">
        <v>0</v>
      </c>
      <c r="L1439" s="1">
        <v>0</v>
      </c>
      <c r="M1439" s="1">
        <v>0</v>
      </c>
      <c r="N1439" s="1">
        <v>0</v>
      </c>
      <c r="O1439" s="1">
        <v>0</v>
      </c>
      <c r="P1439" s="1">
        <v>1</v>
      </c>
      <c r="Q1439" s="1">
        <v>0</v>
      </c>
      <c r="R1439" s="1">
        <v>0</v>
      </c>
      <c r="S1439" s="1">
        <v>0</v>
      </c>
      <c r="T1439" s="1">
        <v>1</v>
      </c>
      <c r="U1439" s="1">
        <v>1</v>
      </c>
      <c r="V1439" s="1">
        <v>0</v>
      </c>
    </row>
    <row r="1440" spans="1:22" x14ac:dyDescent="0.2">
      <c r="A1440" s="1" t="s">
        <v>1146</v>
      </c>
      <c r="B1440" s="1" t="s">
        <v>1446</v>
      </c>
      <c r="C1440" s="1">
        <v>347</v>
      </c>
      <c r="D1440" s="1">
        <v>449</v>
      </c>
      <c r="E1440" s="1">
        <v>424</v>
      </c>
      <c r="F1440" s="1">
        <v>473</v>
      </c>
      <c r="G1440" s="1">
        <v>609</v>
      </c>
      <c r="H1440" s="1">
        <v>578</v>
      </c>
      <c r="I1440" s="1">
        <v>658</v>
      </c>
      <c r="J1440" s="1">
        <v>859</v>
      </c>
      <c r="K1440" s="1">
        <v>760</v>
      </c>
      <c r="L1440" s="1">
        <v>880</v>
      </c>
      <c r="M1440" s="1">
        <v>959</v>
      </c>
      <c r="N1440" s="1">
        <v>989</v>
      </c>
      <c r="O1440" s="1">
        <v>799</v>
      </c>
      <c r="P1440" s="1">
        <v>966</v>
      </c>
      <c r="Q1440" s="1">
        <v>1259</v>
      </c>
      <c r="R1440" s="1">
        <v>1117</v>
      </c>
      <c r="S1440" s="1">
        <v>1226</v>
      </c>
      <c r="T1440" s="1">
        <v>1368</v>
      </c>
      <c r="U1440" s="1">
        <v>1547</v>
      </c>
      <c r="V1440" s="1">
        <v>1683</v>
      </c>
    </row>
    <row r="1441" spans="1:22" x14ac:dyDescent="0.2">
      <c r="A1441" s="1" t="s">
        <v>1146</v>
      </c>
      <c r="B1441" s="1" t="s">
        <v>1447</v>
      </c>
      <c r="C1441" s="1">
        <v>0</v>
      </c>
      <c r="D1441" s="1">
        <v>0</v>
      </c>
      <c r="E1441" s="1">
        <v>0</v>
      </c>
      <c r="F1441" s="1">
        <v>0</v>
      </c>
      <c r="G1441" s="1">
        <v>0</v>
      </c>
      <c r="H1441" s="1">
        <v>0</v>
      </c>
      <c r="I1441" s="1">
        <v>0</v>
      </c>
      <c r="J1441" s="1">
        <v>3</v>
      </c>
      <c r="K1441" s="1">
        <v>2</v>
      </c>
      <c r="L1441" s="1">
        <v>40</v>
      </c>
      <c r="M1441" s="1">
        <v>0</v>
      </c>
      <c r="N1441" s="1">
        <v>1</v>
      </c>
      <c r="O1441" s="1">
        <v>2</v>
      </c>
      <c r="P1441" s="1">
        <v>1</v>
      </c>
      <c r="Q1441" s="1">
        <v>1</v>
      </c>
      <c r="R1441" s="1">
        <v>0</v>
      </c>
      <c r="S1441" s="1">
        <v>2</v>
      </c>
      <c r="T1441" s="1">
        <v>0</v>
      </c>
      <c r="U1441" s="1">
        <v>0</v>
      </c>
      <c r="V1441" s="1">
        <v>2</v>
      </c>
    </row>
    <row r="1442" spans="1:22" x14ac:dyDescent="0.2">
      <c r="A1442" s="1" t="s">
        <v>1146</v>
      </c>
      <c r="B1442" s="1" t="s">
        <v>1448</v>
      </c>
      <c r="C1442" s="1">
        <v>885</v>
      </c>
      <c r="D1442" s="1">
        <v>633</v>
      </c>
      <c r="E1442" s="1">
        <v>643</v>
      </c>
      <c r="F1442" s="1">
        <v>650</v>
      </c>
      <c r="G1442" s="1">
        <v>731</v>
      </c>
      <c r="H1442" s="1">
        <v>631</v>
      </c>
      <c r="I1442" s="1">
        <v>714</v>
      </c>
      <c r="J1442" s="1">
        <v>448</v>
      </c>
      <c r="K1442" s="1">
        <v>319</v>
      </c>
      <c r="L1442" s="1">
        <v>231</v>
      </c>
      <c r="M1442" s="1">
        <v>453</v>
      </c>
      <c r="N1442" s="1">
        <v>210</v>
      </c>
      <c r="O1442" s="1">
        <v>50</v>
      </c>
      <c r="P1442" s="1">
        <v>149</v>
      </c>
      <c r="Q1442" s="1">
        <v>84</v>
      </c>
      <c r="R1442" s="1">
        <v>45</v>
      </c>
      <c r="S1442" s="1">
        <v>65</v>
      </c>
      <c r="T1442" s="1">
        <v>97</v>
      </c>
      <c r="U1442" s="1">
        <v>97</v>
      </c>
      <c r="V1442" s="1">
        <v>68</v>
      </c>
    </row>
    <row r="1443" spans="1:22" x14ac:dyDescent="0.2">
      <c r="A1443" s="1" t="s">
        <v>1146</v>
      </c>
      <c r="B1443" s="1" t="s">
        <v>1449</v>
      </c>
      <c r="C1443" s="1">
        <v>63</v>
      </c>
      <c r="D1443" s="1">
        <v>37</v>
      </c>
      <c r="E1443" s="1">
        <v>41</v>
      </c>
      <c r="F1443" s="1">
        <v>67</v>
      </c>
      <c r="G1443" s="1">
        <v>54</v>
      </c>
      <c r="H1443" s="1">
        <v>208</v>
      </c>
      <c r="I1443" s="1">
        <v>268</v>
      </c>
      <c r="J1443" s="1">
        <v>324</v>
      </c>
      <c r="K1443" s="1">
        <v>407</v>
      </c>
      <c r="L1443" s="1">
        <v>712</v>
      </c>
      <c r="M1443" s="1">
        <v>497</v>
      </c>
      <c r="N1443" s="1">
        <v>588</v>
      </c>
      <c r="O1443" s="1">
        <v>383</v>
      </c>
      <c r="P1443" s="1">
        <v>448</v>
      </c>
      <c r="Q1443" s="1">
        <v>829</v>
      </c>
      <c r="R1443" s="1">
        <v>347</v>
      </c>
      <c r="S1443" s="1">
        <v>222</v>
      </c>
      <c r="T1443" s="1">
        <v>100</v>
      </c>
      <c r="U1443" s="1">
        <v>77</v>
      </c>
      <c r="V1443" s="1">
        <v>80</v>
      </c>
    </row>
    <row r="1444" spans="1:22" x14ac:dyDescent="0.2">
      <c r="A1444" s="1" t="s">
        <v>1146</v>
      </c>
      <c r="B1444" s="1" t="s">
        <v>1450</v>
      </c>
      <c r="C1444" s="1">
        <v>61</v>
      </c>
      <c r="D1444" s="1">
        <v>46</v>
      </c>
      <c r="E1444" s="1">
        <v>59</v>
      </c>
      <c r="F1444" s="1">
        <v>44</v>
      </c>
      <c r="G1444" s="1">
        <v>30</v>
      </c>
      <c r="H1444" s="1">
        <v>25</v>
      </c>
      <c r="I1444" s="1">
        <v>12</v>
      </c>
      <c r="J1444" s="1">
        <v>12</v>
      </c>
      <c r="K1444" s="1">
        <v>12</v>
      </c>
      <c r="L1444" s="1">
        <v>27</v>
      </c>
      <c r="M1444" s="1">
        <v>43</v>
      </c>
      <c r="N1444" s="1">
        <v>44</v>
      </c>
      <c r="O1444" s="1">
        <v>42</v>
      </c>
      <c r="P1444" s="1">
        <v>28</v>
      </c>
      <c r="Q1444" s="1">
        <v>44</v>
      </c>
      <c r="R1444" s="1">
        <v>41</v>
      </c>
      <c r="S1444" s="1">
        <v>43</v>
      </c>
      <c r="T1444" s="1">
        <v>49</v>
      </c>
      <c r="U1444" s="1">
        <v>41</v>
      </c>
      <c r="V1444" s="1">
        <v>21</v>
      </c>
    </row>
    <row r="1445" spans="1:22" x14ac:dyDescent="0.2">
      <c r="A1445" s="1" t="s">
        <v>1146</v>
      </c>
      <c r="B1445" s="1" t="s">
        <v>1451</v>
      </c>
      <c r="C1445" s="1">
        <v>11</v>
      </c>
      <c r="D1445" s="1">
        <v>8</v>
      </c>
      <c r="E1445" s="1">
        <v>45</v>
      </c>
      <c r="F1445" s="1">
        <v>27</v>
      </c>
      <c r="G1445" s="1">
        <v>23</v>
      </c>
      <c r="H1445" s="1">
        <v>7</v>
      </c>
      <c r="I1445" s="1">
        <v>11</v>
      </c>
      <c r="J1445" s="1">
        <v>10</v>
      </c>
      <c r="K1445" s="1">
        <v>10</v>
      </c>
      <c r="L1445" s="1">
        <v>14</v>
      </c>
      <c r="M1445" s="1">
        <v>3</v>
      </c>
      <c r="N1445" s="1">
        <v>3</v>
      </c>
      <c r="O1445" s="1">
        <v>4</v>
      </c>
      <c r="P1445" s="1">
        <v>4</v>
      </c>
      <c r="Q1445" s="1">
        <v>3</v>
      </c>
      <c r="R1445" s="1">
        <v>3</v>
      </c>
      <c r="S1445" s="1">
        <v>2</v>
      </c>
      <c r="T1445" s="1">
        <v>3</v>
      </c>
      <c r="U1445" s="1">
        <v>5</v>
      </c>
      <c r="V1445" s="1">
        <v>14</v>
      </c>
    </row>
    <row r="1446" spans="1:22" x14ac:dyDescent="0.2">
      <c r="A1446" s="1" t="s">
        <v>1146</v>
      </c>
      <c r="B1446" s="1" t="s">
        <v>1452</v>
      </c>
      <c r="C1446" s="1">
        <v>632</v>
      </c>
      <c r="D1446" s="1">
        <v>539</v>
      </c>
      <c r="E1446" s="1">
        <v>753</v>
      </c>
      <c r="F1446" s="1">
        <v>1532</v>
      </c>
      <c r="G1446" s="1">
        <v>1191</v>
      </c>
      <c r="H1446" s="1">
        <v>693</v>
      </c>
      <c r="I1446" s="1">
        <v>485</v>
      </c>
      <c r="J1446" s="1">
        <v>516</v>
      </c>
      <c r="K1446" s="1">
        <v>900</v>
      </c>
      <c r="L1446" s="1">
        <v>973</v>
      </c>
      <c r="M1446" s="1">
        <v>912</v>
      </c>
      <c r="N1446" s="1">
        <v>947</v>
      </c>
      <c r="O1446" s="1">
        <v>627</v>
      </c>
      <c r="P1446" s="1">
        <v>539</v>
      </c>
      <c r="Q1446" s="1">
        <v>596</v>
      </c>
      <c r="R1446" s="1">
        <v>611</v>
      </c>
      <c r="S1446" s="1">
        <v>459</v>
      </c>
      <c r="T1446" s="1">
        <v>527</v>
      </c>
      <c r="U1446" s="1">
        <v>621</v>
      </c>
      <c r="V1446" s="1">
        <v>631</v>
      </c>
    </row>
    <row r="1447" spans="1:22" x14ac:dyDescent="0.2">
      <c r="A1447" s="1" t="s">
        <v>1146</v>
      </c>
      <c r="B1447" s="1" t="s">
        <v>1453</v>
      </c>
      <c r="C1447" s="1">
        <v>0</v>
      </c>
      <c r="D1447" s="1">
        <v>0</v>
      </c>
      <c r="E1447" s="1">
        <v>0</v>
      </c>
      <c r="F1447" s="1">
        <v>0</v>
      </c>
      <c r="G1447" s="1">
        <v>0</v>
      </c>
      <c r="H1447" s="1">
        <v>0</v>
      </c>
      <c r="I1447" s="1">
        <v>0</v>
      </c>
      <c r="J1447" s="1">
        <v>1</v>
      </c>
      <c r="K1447" s="1">
        <v>1</v>
      </c>
      <c r="L1447" s="1">
        <v>0</v>
      </c>
      <c r="M1447" s="1">
        <v>0</v>
      </c>
      <c r="N1447" s="1">
        <v>0</v>
      </c>
      <c r="O1447" s="1">
        <v>0</v>
      </c>
      <c r="P1447" s="1">
        <v>0</v>
      </c>
      <c r="Q1447" s="1">
        <v>0</v>
      </c>
      <c r="R1447" s="1">
        <v>0</v>
      </c>
      <c r="S1447" s="1">
        <v>0</v>
      </c>
      <c r="T1447" s="1">
        <v>0</v>
      </c>
      <c r="U1447" s="1">
        <v>0</v>
      </c>
      <c r="V1447" s="1">
        <v>0</v>
      </c>
    </row>
    <row r="1448" spans="1:22" x14ac:dyDescent="0.2">
      <c r="A1448" s="1" t="s">
        <v>1146</v>
      </c>
      <c r="B1448" s="1" t="s">
        <v>1454</v>
      </c>
      <c r="C1448" s="1">
        <v>19</v>
      </c>
      <c r="D1448" s="1">
        <v>22</v>
      </c>
      <c r="E1448" s="1">
        <v>20</v>
      </c>
      <c r="F1448" s="1">
        <v>16</v>
      </c>
      <c r="G1448" s="1">
        <v>4</v>
      </c>
      <c r="H1448" s="1">
        <v>15</v>
      </c>
      <c r="I1448" s="1">
        <v>29</v>
      </c>
      <c r="J1448" s="1">
        <v>22</v>
      </c>
      <c r="K1448" s="1">
        <v>17</v>
      </c>
      <c r="L1448" s="1">
        <v>17</v>
      </c>
      <c r="M1448" s="1">
        <v>13</v>
      </c>
      <c r="N1448" s="1">
        <v>7</v>
      </c>
      <c r="O1448" s="1">
        <v>6</v>
      </c>
      <c r="P1448" s="1">
        <v>8</v>
      </c>
      <c r="Q1448" s="1">
        <v>14</v>
      </c>
      <c r="R1448" s="1">
        <v>2</v>
      </c>
      <c r="S1448" s="1">
        <v>8</v>
      </c>
      <c r="T1448" s="1">
        <v>5</v>
      </c>
      <c r="U1448" s="1">
        <v>9</v>
      </c>
      <c r="V1448" s="1">
        <v>6</v>
      </c>
    </row>
    <row r="1449" spans="1:22" x14ac:dyDescent="0.2">
      <c r="A1449" s="1" t="s">
        <v>1146</v>
      </c>
      <c r="B1449" s="1" t="s">
        <v>1455</v>
      </c>
      <c r="C1449" s="1">
        <v>0</v>
      </c>
      <c r="D1449" s="1">
        <v>0</v>
      </c>
      <c r="E1449" s="1">
        <v>0</v>
      </c>
      <c r="F1449" s="1">
        <v>0</v>
      </c>
      <c r="G1449" s="1">
        <v>1</v>
      </c>
      <c r="H1449" s="1">
        <v>2</v>
      </c>
      <c r="I1449" s="1">
        <v>0</v>
      </c>
      <c r="J1449" s="1">
        <v>0</v>
      </c>
      <c r="K1449" s="1">
        <v>3</v>
      </c>
      <c r="L1449" s="1">
        <v>2</v>
      </c>
      <c r="M1449" s="1">
        <v>2</v>
      </c>
      <c r="N1449" s="1">
        <v>2</v>
      </c>
      <c r="O1449" s="1">
        <v>0</v>
      </c>
      <c r="P1449" s="1">
        <v>1</v>
      </c>
      <c r="Q1449" s="1">
        <v>1</v>
      </c>
      <c r="R1449" s="1">
        <v>0</v>
      </c>
      <c r="S1449" s="1">
        <v>0</v>
      </c>
      <c r="T1449" s="1">
        <v>0</v>
      </c>
      <c r="U1449" s="1">
        <v>0</v>
      </c>
      <c r="V1449" s="1">
        <v>0</v>
      </c>
    </row>
    <row r="1450" spans="1:22" x14ac:dyDescent="0.2">
      <c r="A1450" s="1" t="s">
        <v>1146</v>
      </c>
      <c r="B1450" s="1" t="s">
        <v>1456</v>
      </c>
      <c r="C1450" s="1">
        <v>0</v>
      </c>
      <c r="D1450" s="1">
        <v>0</v>
      </c>
      <c r="E1450" s="1">
        <v>0</v>
      </c>
      <c r="F1450" s="1">
        <v>0</v>
      </c>
      <c r="G1450" s="1">
        <v>0</v>
      </c>
      <c r="H1450" s="1">
        <v>0</v>
      </c>
      <c r="I1450" s="1">
        <v>5</v>
      </c>
      <c r="J1450" s="1">
        <v>6</v>
      </c>
      <c r="K1450" s="1">
        <v>8</v>
      </c>
      <c r="L1450" s="1">
        <v>6</v>
      </c>
      <c r="M1450" s="1">
        <v>6</v>
      </c>
      <c r="N1450" s="1">
        <v>1</v>
      </c>
      <c r="O1450" s="1">
        <v>4</v>
      </c>
      <c r="P1450" s="1">
        <v>5</v>
      </c>
      <c r="Q1450" s="1">
        <v>8</v>
      </c>
      <c r="R1450" s="1">
        <v>5</v>
      </c>
      <c r="S1450" s="1">
        <v>5</v>
      </c>
      <c r="T1450" s="1">
        <v>0</v>
      </c>
      <c r="U1450" s="1">
        <v>0</v>
      </c>
      <c r="V1450" s="1">
        <v>0</v>
      </c>
    </row>
    <row r="1451" spans="1:22" x14ac:dyDescent="0.2">
      <c r="A1451" s="1" t="s">
        <v>1146</v>
      </c>
      <c r="B1451" s="1" t="s">
        <v>1457</v>
      </c>
      <c r="C1451" s="1">
        <v>2302</v>
      </c>
      <c r="D1451" s="1">
        <v>1285</v>
      </c>
      <c r="E1451" s="1">
        <v>1196</v>
      </c>
      <c r="F1451" s="1">
        <v>1520</v>
      </c>
      <c r="G1451" s="1">
        <v>2145</v>
      </c>
      <c r="H1451" s="1">
        <v>1385</v>
      </c>
      <c r="I1451" s="1">
        <v>1340</v>
      </c>
      <c r="J1451" s="1">
        <v>1263</v>
      </c>
      <c r="K1451" s="1">
        <v>1727</v>
      </c>
      <c r="L1451" s="1">
        <v>1490</v>
      </c>
      <c r="M1451" s="1">
        <v>1057</v>
      </c>
      <c r="N1451" s="1">
        <v>993</v>
      </c>
      <c r="O1451" s="1">
        <v>810</v>
      </c>
      <c r="P1451" s="1">
        <v>667</v>
      </c>
      <c r="Q1451" s="1">
        <v>648</v>
      </c>
      <c r="R1451" s="1">
        <v>635</v>
      </c>
      <c r="S1451" s="1">
        <v>683</v>
      </c>
      <c r="T1451" s="1">
        <v>630</v>
      </c>
      <c r="U1451" s="1">
        <v>611</v>
      </c>
      <c r="V1451" s="1">
        <v>532</v>
      </c>
    </row>
    <row r="1452" spans="1:22" x14ac:dyDescent="0.2">
      <c r="A1452" s="1" t="s">
        <v>1146</v>
      </c>
      <c r="B1452" s="1" t="s">
        <v>1458</v>
      </c>
      <c r="C1452" s="1">
        <f>SUM(C1453:C1457)</f>
        <v>0</v>
      </c>
      <c r="D1452" s="1">
        <f t="shared" ref="D1452:V1452" si="255">SUM(D1453:D1457)</f>
        <v>0</v>
      </c>
      <c r="E1452" s="1">
        <f t="shared" si="255"/>
        <v>0</v>
      </c>
      <c r="F1452" s="1">
        <f t="shared" si="255"/>
        <v>0</v>
      </c>
      <c r="G1452" s="1">
        <f t="shared" si="255"/>
        <v>0</v>
      </c>
      <c r="H1452" s="1">
        <f t="shared" si="255"/>
        <v>0</v>
      </c>
      <c r="I1452" s="1">
        <f t="shared" si="255"/>
        <v>0</v>
      </c>
      <c r="J1452" s="1">
        <f t="shared" si="255"/>
        <v>0</v>
      </c>
      <c r="K1452" s="1">
        <f t="shared" si="255"/>
        <v>0</v>
      </c>
      <c r="L1452" s="1">
        <f t="shared" si="255"/>
        <v>0</v>
      </c>
      <c r="M1452" s="1">
        <f t="shared" si="255"/>
        <v>0</v>
      </c>
      <c r="N1452" s="1">
        <f t="shared" si="255"/>
        <v>0</v>
      </c>
      <c r="O1452" s="1">
        <f t="shared" si="255"/>
        <v>0</v>
      </c>
      <c r="P1452" s="1">
        <f t="shared" si="255"/>
        <v>0</v>
      </c>
      <c r="Q1452" s="1">
        <f t="shared" si="255"/>
        <v>0</v>
      </c>
      <c r="R1452" s="1">
        <f t="shared" si="255"/>
        <v>0</v>
      </c>
      <c r="S1452" s="1">
        <f t="shared" si="255"/>
        <v>0</v>
      </c>
      <c r="T1452" s="1">
        <f t="shared" si="255"/>
        <v>30</v>
      </c>
      <c r="U1452" s="1">
        <f t="shared" si="255"/>
        <v>69</v>
      </c>
      <c r="V1452" s="1">
        <f t="shared" si="255"/>
        <v>298</v>
      </c>
    </row>
    <row r="1453" spans="1:22" x14ac:dyDescent="0.2">
      <c r="A1453" s="1" t="s">
        <v>1146</v>
      </c>
      <c r="B1453" s="1" t="s">
        <v>1459</v>
      </c>
      <c r="C1453" s="1">
        <v>0</v>
      </c>
      <c r="D1453" s="1">
        <v>0</v>
      </c>
      <c r="E1453" s="1">
        <v>0</v>
      </c>
      <c r="F1453" s="1">
        <v>0</v>
      </c>
      <c r="G1453" s="1">
        <v>0</v>
      </c>
      <c r="H1453" s="1">
        <v>0</v>
      </c>
      <c r="I1453" s="1">
        <v>0</v>
      </c>
      <c r="J1453" s="1">
        <v>0</v>
      </c>
      <c r="K1453" s="1">
        <v>0</v>
      </c>
      <c r="L1453" s="1">
        <v>0</v>
      </c>
      <c r="M1453" s="1">
        <v>0</v>
      </c>
      <c r="N1453" s="1">
        <v>0</v>
      </c>
      <c r="O1453" s="1">
        <v>0</v>
      </c>
      <c r="P1453" s="1">
        <v>0</v>
      </c>
      <c r="Q1453" s="1">
        <v>0</v>
      </c>
      <c r="R1453" s="1">
        <v>0</v>
      </c>
      <c r="S1453" s="1">
        <v>0</v>
      </c>
      <c r="T1453" s="1">
        <v>15</v>
      </c>
      <c r="U1453" s="1">
        <v>51</v>
      </c>
      <c r="V1453" s="1">
        <v>64</v>
      </c>
    </row>
    <row r="1454" spans="1:22" x14ac:dyDescent="0.2">
      <c r="A1454" s="1" t="s">
        <v>1146</v>
      </c>
      <c r="B1454" s="1" t="s">
        <v>1460</v>
      </c>
      <c r="C1454" s="1">
        <v>0</v>
      </c>
      <c r="D1454" s="1">
        <v>0</v>
      </c>
      <c r="E1454" s="1">
        <v>0</v>
      </c>
      <c r="F1454" s="1">
        <v>0</v>
      </c>
      <c r="G1454" s="1">
        <v>0</v>
      </c>
      <c r="H1454" s="1">
        <v>0</v>
      </c>
      <c r="I1454" s="1">
        <v>0</v>
      </c>
      <c r="J1454" s="1">
        <v>0</v>
      </c>
      <c r="K1454" s="1">
        <v>0</v>
      </c>
      <c r="L1454" s="1">
        <v>0</v>
      </c>
      <c r="M1454" s="1">
        <v>0</v>
      </c>
      <c r="N1454" s="1">
        <v>0</v>
      </c>
      <c r="O1454" s="1">
        <v>0</v>
      </c>
      <c r="P1454" s="1">
        <v>0</v>
      </c>
      <c r="Q1454" s="1">
        <v>0</v>
      </c>
      <c r="R1454" s="1">
        <v>0</v>
      </c>
      <c r="S1454" s="1">
        <v>0</v>
      </c>
      <c r="T1454" s="1">
        <v>0</v>
      </c>
      <c r="U1454" s="1">
        <v>0</v>
      </c>
      <c r="V1454" s="1">
        <v>121</v>
      </c>
    </row>
    <row r="1455" spans="1:22" x14ac:dyDescent="0.2">
      <c r="A1455" s="1" t="s">
        <v>1146</v>
      </c>
      <c r="B1455" s="1" t="s">
        <v>1461</v>
      </c>
      <c r="C1455" s="1">
        <v>0</v>
      </c>
      <c r="D1455" s="1">
        <v>0</v>
      </c>
      <c r="E1455" s="1">
        <v>0</v>
      </c>
      <c r="F1455" s="1">
        <v>0</v>
      </c>
      <c r="G1455" s="1">
        <v>0</v>
      </c>
      <c r="H1455" s="1">
        <v>0</v>
      </c>
      <c r="I1455" s="1">
        <v>0</v>
      </c>
      <c r="J1455" s="1">
        <v>0</v>
      </c>
      <c r="K1455" s="1">
        <v>0</v>
      </c>
      <c r="L1455" s="1">
        <v>0</v>
      </c>
      <c r="M1455" s="1">
        <v>0</v>
      </c>
      <c r="N1455" s="1">
        <v>0</v>
      </c>
      <c r="O1455" s="1">
        <v>0</v>
      </c>
      <c r="P1455" s="1">
        <v>0</v>
      </c>
      <c r="Q1455" s="1">
        <v>0</v>
      </c>
      <c r="R1455" s="1">
        <v>0</v>
      </c>
      <c r="S1455" s="1">
        <v>0</v>
      </c>
      <c r="T1455" s="1">
        <v>15</v>
      </c>
      <c r="U1455" s="1">
        <v>18</v>
      </c>
      <c r="V1455" s="1">
        <v>59</v>
      </c>
    </row>
    <row r="1456" spans="1:22" x14ac:dyDescent="0.2">
      <c r="A1456" s="1" t="s">
        <v>1146</v>
      </c>
      <c r="B1456" s="1" t="s">
        <v>1462</v>
      </c>
      <c r="C1456" s="1">
        <v>0</v>
      </c>
      <c r="D1456" s="1">
        <v>0</v>
      </c>
      <c r="E1456" s="1">
        <v>0</v>
      </c>
      <c r="F1456" s="1">
        <v>0</v>
      </c>
      <c r="G1456" s="1">
        <v>0</v>
      </c>
      <c r="H1456" s="1">
        <v>0</v>
      </c>
      <c r="I1456" s="1">
        <v>0</v>
      </c>
      <c r="J1456" s="1">
        <v>0</v>
      </c>
      <c r="K1456" s="1">
        <v>0</v>
      </c>
      <c r="L1456" s="1">
        <v>0</v>
      </c>
      <c r="M1456" s="1">
        <v>0</v>
      </c>
      <c r="N1456" s="1">
        <v>0</v>
      </c>
      <c r="O1456" s="1">
        <v>0</v>
      </c>
      <c r="P1456" s="1">
        <v>0</v>
      </c>
      <c r="Q1456" s="1">
        <v>0</v>
      </c>
      <c r="R1456" s="1">
        <v>0</v>
      </c>
      <c r="S1456" s="1">
        <v>0</v>
      </c>
      <c r="T1456" s="1">
        <v>0</v>
      </c>
      <c r="U1456" s="1">
        <v>0</v>
      </c>
      <c r="V1456" s="1">
        <v>7</v>
      </c>
    </row>
    <row r="1457" spans="1:22" x14ac:dyDescent="0.2">
      <c r="A1457" s="1" t="s">
        <v>1146</v>
      </c>
      <c r="B1457" s="1" t="s">
        <v>1463</v>
      </c>
      <c r="C1457" s="1">
        <v>0</v>
      </c>
      <c r="D1457" s="1">
        <v>0</v>
      </c>
      <c r="E1457" s="1">
        <v>0</v>
      </c>
      <c r="F1457" s="1">
        <v>0</v>
      </c>
      <c r="G1457" s="1">
        <v>0</v>
      </c>
      <c r="H1457" s="1">
        <v>0</v>
      </c>
      <c r="I1457" s="1">
        <v>0</v>
      </c>
      <c r="J1457" s="1">
        <v>0</v>
      </c>
      <c r="K1457" s="1">
        <v>0</v>
      </c>
      <c r="L1457" s="1">
        <v>0</v>
      </c>
      <c r="M1457" s="1">
        <v>0</v>
      </c>
      <c r="N1457" s="1">
        <v>0</v>
      </c>
      <c r="O1457" s="1">
        <v>0</v>
      </c>
      <c r="P1457" s="1">
        <v>0</v>
      </c>
      <c r="Q1457" s="1">
        <v>0</v>
      </c>
      <c r="R1457" s="1">
        <v>0</v>
      </c>
      <c r="S1457" s="1">
        <v>0</v>
      </c>
      <c r="T1457" s="1">
        <v>0</v>
      </c>
      <c r="U1457" s="1">
        <v>0</v>
      </c>
      <c r="V1457" s="1">
        <v>47</v>
      </c>
    </row>
    <row r="1458" spans="1:22" x14ac:dyDescent="0.2">
      <c r="A1458" s="1" t="s">
        <v>1146</v>
      </c>
      <c r="B1458" s="1" t="s">
        <v>1464</v>
      </c>
      <c r="C1458" s="1">
        <f>SUM(C1459:C1473)</f>
        <v>4400</v>
      </c>
      <c r="D1458" s="1">
        <f>SUM(D1459:D1473)</f>
        <v>6261</v>
      </c>
      <c r="E1458" s="1">
        <f>SUM(E1459:E1473)</f>
        <v>8010</v>
      </c>
      <c r="F1458" s="1">
        <f>SUM(F1459:F1473)</f>
        <v>9082</v>
      </c>
      <c r="G1458" s="1">
        <f t="shared" ref="G1458:T1458" si="256">SUM(G1459:G1473)</f>
        <v>10567</v>
      </c>
      <c r="H1458" s="1">
        <f t="shared" si="256"/>
        <v>12765</v>
      </c>
      <c r="I1458" s="1">
        <f t="shared" si="256"/>
        <v>12148</v>
      </c>
      <c r="J1458" s="1">
        <f t="shared" si="256"/>
        <v>18083</v>
      </c>
      <c r="K1458" s="1">
        <f t="shared" si="256"/>
        <v>29408</v>
      </c>
      <c r="L1458" s="1">
        <f t="shared" si="256"/>
        <v>62416</v>
      </c>
      <c r="M1458" s="1">
        <f t="shared" si="256"/>
        <v>64217</v>
      </c>
      <c r="N1458" s="1">
        <f t="shared" si="256"/>
        <v>49523</v>
      </c>
      <c r="O1458" s="1">
        <f t="shared" si="256"/>
        <v>3044</v>
      </c>
      <c r="P1458" s="1">
        <f t="shared" si="256"/>
        <v>2512</v>
      </c>
      <c r="Q1458" s="1">
        <f t="shared" si="256"/>
        <v>2765</v>
      </c>
      <c r="R1458" s="1">
        <f t="shared" si="256"/>
        <v>2851</v>
      </c>
      <c r="S1458" s="1">
        <f t="shared" si="256"/>
        <v>3058</v>
      </c>
      <c r="T1458" s="1">
        <f t="shared" si="256"/>
        <v>3433</v>
      </c>
      <c r="U1458" s="1">
        <f>SUM(U1459:U1473)</f>
        <v>3141</v>
      </c>
      <c r="V1458" s="1">
        <f>SUM(V1459:V1473)</f>
        <v>3219</v>
      </c>
    </row>
    <row r="1459" spans="1:22" x14ac:dyDescent="0.2">
      <c r="A1459" s="1" t="s">
        <v>1146</v>
      </c>
      <c r="B1459" s="1" t="s">
        <v>1465</v>
      </c>
      <c r="C1459" s="1">
        <v>5</v>
      </c>
      <c r="D1459" s="1">
        <v>4</v>
      </c>
      <c r="E1459" s="1">
        <v>2</v>
      </c>
      <c r="F1459" s="1">
        <v>1</v>
      </c>
      <c r="G1459" s="1">
        <v>2</v>
      </c>
      <c r="H1459" s="1">
        <v>4</v>
      </c>
      <c r="I1459" s="1">
        <v>1</v>
      </c>
      <c r="J1459" s="1">
        <v>7</v>
      </c>
      <c r="K1459" s="1">
        <v>4</v>
      </c>
      <c r="L1459" s="1">
        <v>5</v>
      </c>
      <c r="M1459" s="1">
        <v>4</v>
      </c>
      <c r="N1459" s="1">
        <v>9</v>
      </c>
      <c r="O1459" s="1">
        <v>5</v>
      </c>
      <c r="P1459" s="1">
        <v>9</v>
      </c>
      <c r="Q1459" s="1">
        <v>16</v>
      </c>
      <c r="R1459" s="1">
        <v>11</v>
      </c>
      <c r="S1459" s="1">
        <v>19</v>
      </c>
      <c r="T1459" s="1">
        <v>36</v>
      </c>
      <c r="U1459" s="1">
        <v>18</v>
      </c>
      <c r="V1459" s="1">
        <v>21</v>
      </c>
    </row>
    <row r="1460" spans="1:22" x14ac:dyDescent="0.2">
      <c r="A1460" s="1" t="s">
        <v>1146</v>
      </c>
      <c r="B1460" s="1" t="s">
        <v>1466</v>
      </c>
      <c r="C1460" s="1">
        <v>0</v>
      </c>
      <c r="D1460" s="1">
        <v>0</v>
      </c>
      <c r="E1460" s="1">
        <v>0</v>
      </c>
      <c r="F1460" s="1">
        <v>0</v>
      </c>
      <c r="G1460" s="1">
        <v>0</v>
      </c>
      <c r="H1460" s="1">
        <v>1</v>
      </c>
      <c r="I1460" s="1">
        <v>5</v>
      </c>
      <c r="J1460" s="1">
        <v>2</v>
      </c>
      <c r="K1460" s="1">
        <v>14</v>
      </c>
      <c r="L1460" s="1">
        <v>20</v>
      </c>
      <c r="M1460" s="1">
        <v>22</v>
      </c>
      <c r="N1460" s="1">
        <v>46</v>
      </c>
      <c r="O1460" s="1">
        <v>24</v>
      </c>
      <c r="P1460" s="1">
        <v>29</v>
      </c>
      <c r="Q1460" s="1">
        <v>24</v>
      </c>
      <c r="R1460" s="1">
        <v>30</v>
      </c>
      <c r="S1460" s="1">
        <v>22</v>
      </c>
      <c r="T1460" s="1">
        <v>26</v>
      </c>
      <c r="U1460" s="1">
        <v>12</v>
      </c>
      <c r="V1460" s="1">
        <v>27</v>
      </c>
    </row>
    <row r="1461" spans="1:22" x14ac:dyDescent="0.2">
      <c r="A1461" s="1" t="s">
        <v>1146</v>
      </c>
      <c r="B1461" s="1" t="s">
        <v>1467</v>
      </c>
      <c r="C1461" s="1">
        <v>0</v>
      </c>
      <c r="D1461" s="1">
        <v>0</v>
      </c>
      <c r="E1461" s="1">
        <v>0</v>
      </c>
      <c r="F1461" s="1">
        <v>0</v>
      </c>
      <c r="G1461" s="1">
        <v>0</v>
      </c>
      <c r="H1461" s="1">
        <v>0</v>
      </c>
      <c r="I1461" s="1">
        <v>0</v>
      </c>
      <c r="J1461" s="1">
        <v>0</v>
      </c>
      <c r="K1461" s="1">
        <v>0</v>
      </c>
      <c r="L1461" s="1">
        <v>8</v>
      </c>
      <c r="M1461" s="1">
        <v>2</v>
      </c>
      <c r="N1461" s="1">
        <v>0</v>
      </c>
      <c r="O1461" s="1">
        <v>0</v>
      </c>
      <c r="P1461" s="1">
        <v>0</v>
      </c>
      <c r="Q1461" s="1">
        <v>0</v>
      </c>
      <c r="R1461" s="1">
        <v>0</v>
      </c>
      <c r="S1461" s="1">
        <v>0</v>
      </c>
      <c r="T1461" s="1">
        <v>0</v>
      </c>
      <c r="U1461" s="1">
        <v>0</v>
      </c>
      <c r="V1461" s="1">
        <v>0</v>
      </c>
    </row>
    <row r="1462" spans="1:22" x14ac:dyDescent="0.2">
      <c r="A1462" s="1" t="s">
        <v>1146</v>
      </c>
      <c r="B1462" s="1" t="s">
        <v>1468</v>
      </c>
      <c r="C1462" s="1">
        <v>21</v>
      </c>
      <c r="D1462" s="1">
        <v>15</v>
      </c>
      <c r="E1462" s="1">
        <v>14</v>
      </c>
      <c r="F1462" s="1">
        <v>16</v>
      </c>
      <c r="G1462" s="1">
        <v>9</v>
      </c>
      <c r="H1462" s="1">
        <v>34</v>
      </c>
      <c r="I1462" s="1">
        <v>31</v>
      </c>
      <c r="J1462" s="1">
        <v>51</v>
      </c>
      <c r="K1462" s="1">
        <v>47</v>
      </c>
      <c r="L1462" s="1">
        <v>69</v>
      </c>
      <c r="M1462" s="1">
        <v>94</v>
      </c>
      <c r="N1462" s="1">
        <v>115</v>
      </c>
      <c r="O1462" s="1">
        <v>56</v>
      </c>
      <c r="P1462" s="1">
        <v>120</v>
      </c>
      <c r="Q1462" s="1">
        <v>107</v>
      </c>
      <c r="R1462" s="1">
        <v>60</v>
      </c>
      <c r="S1462" s="1">
        <v>19</v>
      </c>
      <c r="T1462" s="1">
        <v>82</v>
      </c>
      <c r="U1462" s="1">
        <v>30</v>
      </c>
      <c r="V1462" s="1">
        <v>25</v>
      </c>
    </row>
    <row r="1463" spans="1:22" x14ac:dyDescent="0.2">
      <c r="A1463" s="1" t="s">
        <v>1146</v>
      </c>
      <c r="B1463" s="1" t="s">
        <v>1469</v>
      </c>
      <c r="C1463" s="1">
        <v>0</v>
      </c>
      <c r="D1463" s="1">
        <v>0</v>
      </c>
      <c r="E1463" s="1">
        <v>0</v>
      </c>
      <c r="F1463" s="1">
        <v>0</v>
      </c>
      <c r="G1463" s="1">
        <v>168</v>
      </c>
      <c r="H1463" s="1">
        <v>326</v>
      </c>
      <c r="I1463" s="1">
        <v>257</v>
      </c>
      <c r="J1463" s="1">
        <v>83</v>
      </c>
      <c r="K1463" s="1">
        <v>97</v>
      </c>
      <c r="L1463" s="1">
        <v>23</v>
      </c>
      <c r="M1463" s="1">
        <v>11</v>
      </c>
      <c r="N1463" s="1">
        <v>14</v>
      </c>
      <c r="O1463" s="1">
        <v>12</v>
      </c>
      <c r="P1463" s="1">
        <v>67</v>
      </c>
      <c r="Q1463" s="1">
        <v>24</v>
      </c>
      <c r="R1463" s="1">
        <v>6</v>
      </c>
      <c r="S1463" s="1">
        <v>28</v>
      </c>
      <c r="T1463" s="1">
        <v>180</v>
      </c>
      <c r="U1463" s="1">
        <v>205</v>
      </c>
      <c r="V1463" s="1">
        <v>189</v>
      </c>
    </row>
    <row r="1464" spans="1:22" x14ac:dyDescent="0.2">
      <c r="A1464" s="1" t="s">
        <v>1146</v>
      </c>
      <c r="B1464" s="1" t="s">
        <v>1470</v>
      </c>
      <c r="C1464" s="1">
        <v>32</v>
      </c>
      <c r="D1464" s="1">
        <v>35</v>
      </c>
      <c r="E1464" s="1">
        <v>31</v>
      </c>
      <c r="F1464" s="1">
        <v>3</v>
      </c>
      <c r="G1464" s="1">
        <v>1</v>
      </c>
      <c r="H1464" s="1">
        <v>23</v>
      </c>
      <c r="I1464" s="1">
        <v>37</v>
      </c>
      <c r="J1464" s="1">
        <v>21</v>
      </c>
      <c r="K1464" s="1">
        <v>51</v>
      </c>
      <c r="L1464" s="1">
        <v>39</v>
      </c>
      <c r="M1464" s="1">
        <v>13</v>
      </c>
      <c r="N1464" s="1">
        <v>25</v>
      </c>
      <c r="O1464" s="1">
        <v>60</v>
      </c>
      <c r="P1464" s="1">
        <v>4</v>
      </c>
      <c r="Q1464" s="1">
        <v>16</v>
      </c>
      <c r="R1464" s="1">
        <v>16</v>
      </c>
      <c r="S1464" s="1">
        <v>14</v>
      </c>
      <c r="T1464" s="1">
        <v>2</v>
      </c>
      <c r="U1464" s="1">
        <v>27</v>
      </c>
      <c r="V1464" s="1">
        <v>0</v>
      </c>
    </row>
    <row r="1465" spans="1:22" x14ac:dyDescent="0.2">
      <c r="A1465" s="1" t="s">
        <v>1146</v>
      </c>
      <c r="B1465" s="1" t="s">
        <v>1471</v>
      </c>
      <c r="C1465" s="1">
        <v>0</v>
      </c>
      <c r="D1465" s="1">
        <v>0</v>
      </c>
      <c r="E1465" s="1">
        <v>0</v>
      </c>
      <c r="F1465" s="1">
        <v>0</v>
      </c>
      <c r="G1465" s="1">
        <v>0</v>
      </c>
      <c r="H1465" s="1">
        <v>0</v>
      </c>
      <c r="I1465" s="1">
        <v>23</v>
      </c>
      <c r="J1465" s="1">
        <v>34</v>
      </c>
      <c r="K1465" s="1">
        <v>56</v>
      </c>
      <c r="L1465" s="1">
        <v>107</v>
      </c>
      <c r="M1465" s="1">
        <v>256</v>
      </c>
      <c r="N1465" s="1">
        <v>274</v>
      </c>
      <c r="O1465" s="1">
        <v>334</v>
      </c>
      <c r="P1465" s="1">
        <v>297</v>
      </c>
      <c r="Q1465" s="1">
        <v>290</v>
      </c>
      <c r="R1465" s="1">
        <v>461</v>
      </c>
      <c r="S1465" s="1">
        <v>626</v>
      </c>
      <c r="T1465" s="1">
        <v>659</v>
      </c>
      <c r="U1465" s="1">
        <v>584</v>
      </c>
      <c r="V1465" s="1">
        <v>807</v>
      </c>
    </row>
    <row r="1466" spans="1:22" x14ac:dyDescent="0.2">
      <c r="A1466" s="1" t="s">
        <v>1146</v>
      </c>
      <c r="B1466" s="1" t="s">
        <v>1472</v>
      </c>
      <c r="C1466" s="1">
        <v>3</v>
      </c>
      <c r="D1466" s="1">
        <v>5</v>
      </c>
      <c r="E1466" s="1">
        <v>140</v>
      </c>
      <c r="F1466" s="1">
        <v>296</v>
      </c>
      <c r="G1466" s="1">
        <v>111</v>
      </c>
      <c r="H1466" s="1">
        <v>90</v>
      </c>
      <c r="I1466" s="1">
        <v>91</v>
      </c>
      <c r="J1466" s="1">
        <v>115</v>
      </c>
      <c r="K1466" s="1">
        <v>170</v>
      </c>
      <c r="L1466" s="1">
        <v>46</v>
      </c>
      <c r="M1466" s="1">
        <v>72</v>
      </c>
      <c r="N1466" s="1">
        <v>235</v>
      </c>
      <c r="O1466" s="1">
        <v>75</v>
      </c>
      <c r="P1466" s="1">
        <v>104</v>
      </c>
      <c r="Q1466" s="1">
        <v>98</v>
      </c>
      <c r="R1466" s="1">
        <v>113</v>
      </c>
      <c r="S1466" s="1">
        <v>106</v>
      </c>
      <c r="T1466" s="1">
        <v>109</v>
      </c>
      <c r="U1466" s="1">
        <v>192</v>
      </c>
      <c r="V1466" s="1">
        <v>228</v>
      </c>
    </row>
    <row r="1467" spans="1:22" x14ac:dyDescent="0.2">
      <c r="A1467" s="1" t="s">
        <v>1146</v>
      </c>
      <c r="B1467" s="1" t="s">
        <v>1473</v>
      </c>
      <c r="C1467" s="1">
        <v>0</v>
      </c>
      <c r="D1467" s="1">
        <v>0</v>
      </c>
      <c r="E1467" s="1">
        <v>0</v>
      </c>
      <c r="F1467" s="1">
        <v>0</v>
      </c>
      <c r="G1467" s="1">
        <v>19</v>
      </c>
      <c r="H1467" s="1">
        <v>1588</v>
      </c>
      <c r="I1467" s="1">
        <v>2363</v>
      </c>
      <c r="J1467" s="1">
        <v>5049</v>
      </c>
      <c r="K1467" s="1">
        <v>8234</v>
      </c>
      <c r="L1467" s="1">
        <v>17881</v>
      </c>
      <c r="M1467" s="1">
        <v>15674</v>
      </c>
      <c r="N1467" s="1">
        <v>8371</v>
      </c>
      <c r="O1467" s="1">
        <v>152</v>
      </c>
      <c r="P1467" s="1">
        <v>1</v>
      </c>
      <c r="Q1467" s="1">
        <v>72</v>
      </c>
      <c r="R1467" s="1">
        <v>79</v>
      </c>
      <c r="S1467" s="1">
        <v>134</v>
      </c>
      <c r="T1467" s="1">
        <v>0</v>
      </c>
      <c r="U1467" s="1">
        <v>0</v>
      </c>
      <c r="V1467" s="1">
        <v>0</v>
      </c>
    </row>
    <row r="1468" spans="1:22" x14ac:dyDescent="0.2">
      <c r="A1468" s="1" t="s">
        <v>1146</v>
      </c>
      <c r="B1468" s="1" t="s">
        <v>1474</v>
      </c>
      <c r="C1468" s="1">
        <v>0</v>
      </c>
      <c r="D1468" s="1">
        <v>5</v>
      </c>
      <c r="E1468" s="1">
        <v>21</v>
      </c>
      <c r="F1468" s="1">
        <v>8</v>
      </c>
      <c r="G1468" s="1">
        <v>0</v>
      </c>
      <c r="H1468" s="1">
        <v>0</v>
      </c>
      <c r="I1468" s="1">
        <v>0</v>
      </c>
      <c r="J1468" s="1">
        <v>0</v>
      </c>
      <c r="K1468" s="1">
        <v>0</v>
      </c>
      <c r="L1468" s="1">
        <v>0</v>
      </c>
      <c r="M1468" s="1">
        <v>0</v>
      </c>
      <c r="N1468" s="1">
        <v>0</v>
      </c>
      <c r="O1468" s="1">
        <v>0</v>
      </c>
      <c r="P1468" s="1">
        <v>0</v>
      </c>
      <c r="Q1468" s="1">
        <v>0</v>
      </c>
      <c r="R1468" s="1">
        <v>0</v>
      </c>
      <c r="S1468" s="1">
        <v>0</v>
      </c>
      <c r="T1468" s="1">
        <v>30</v>
      </c>
      <c r="U1468" s="1">
        <v>10</v>
      </c>
      <c r="V1468" s="1">
        <v>30</v>
      </c>
    </row>
    <row r="1469" spans="1:22" x14ac:dyDescent="0.2">
      <c r="A1469" s="1" t="s">
        <v>1146</v>
      </c>
      <c r="B1469" s="1" t="s">
        <v>1475</v>
      </c>
      <c r="C1469" s="1">
        <v>2901</v>
      </c>
      <c r="D1469" s="1">
        <v>4422</v>
      </c>
      <c r="E1469" s="1">
        <v>5106</v>
      </c>
      <c r="F1469" s="1">
        <v>5305</v>
      </c>
      <c r="G1469" s="1">
        <v>7323</v>
      </c>
      <c r="H1469" s="1">
        <v>9487</v>
      </c>
      <c r="I1469" s="1">
        <v>8408</v>
      </c>
      <c r="J1469" s="1">
        <v>11713</v>
      </c>
      <c r="K1469" s="1">
        <v>19712</v>
      </c>
      <c r="L1469" s="1">
        <v>41885</v>
      </c>
      <c r="M1469" s="1">
        <v>45307</v>
      </c>
      <c r="N1469" s="1">
        <v>38497</v>
      </c>
      <c r="O1469" s="1">
        <v>437</v>
      </c>
      <c r="P1469" s="1">
        <v>278</v>
      </c>
      <c r="Q1469" s="1">
        <v>287</v>
      </c>
      <c r="R1469" s="1">
        <v>278</v>
      </c>
      <c r="S1469" s="1">
        <v>410</v>
      </c>
      <c r="T1469" s="1">
        <v>350</v>
      </c>
      <c r="U1469" s="1">
        <v>358</v>
      </c>
      <c r="V1469" s="1">
        <v>280</v>
      </c>
    </row>
    <row r="1470" spans="1:22" x14ac:dyDescent="0.2">
      <c r="A1470" s="1" t="s">
        <v>1146</v>
      </c>
      <c r="B1470" s="1" t="s">
        <v>1476</v>
      </c>
      <c r="C1470" s="1">
        <v>158</v>
      </c>
      <c r="D1470" s="1">
        <v>126</v>
      </c>
      <c r="E1470" s="1">
        <v>126</v>
      </c>
      <c r="F1470" s="1">
        <v>71</v>
      </c>
      <c r="G1470" s="1">
        <v>105</v>
      </c>
      <c r="H1470" s="1">
        <v>337</v>
      </c>
      <c r="I1470" s="1">
        <v>306</v>
      </c>
      <c r="J1470" s="1">
        <v>334</v>
      </c>
      <c r="K1470" s="1">
        <v>341</v>
      </c>
      <c r="L1470" s="1">
        <v>266</v>
      </c>
      <c r="M1470" s="1">
        <v>249</v>
      </c>
      <c r="N1470" s="1">
        <v>240</v>
      </c>
      <c r="O1470" s="1">
        <v>246</v>
      </c>
      <c r="P1470" s="1">
        <v>393</v>
      </c>
      <c r="Q1470" s="1">
        <v>544</v>
      </c>
      <c r="R1470" s="1">
        <v>527</v>
      </c>
      <c r="S1470" s="1">
        <v>581</v>
      </c>
      <c r="T1470" s="1">
        <v>615</v>
      </c>
      <c r="U1470" s="1">
        <v>447</v>
      </c>
      <c r="V1470" s="1">
        <v>466</v>
      </c>
    </row>
    <row r="1471" spans="1:22" x14ac:dyDescent="0.2">
      <c r="A1471" s="1" t="s">
        <v>1146</v>
      </c>
      <c r="B1471" s="1" t="s">
        <v>1477</v>
      </c>
      <c r="C1471" s="1">
        <v>18</v>
      </c>
      <c r="D1471" s="1">
        <v>53</v>
      </c>
      <c r="E1471" s="1">
        <v>40</v>
      </c>
      <c r="F1471" s="1">
        <v>25</v>
      </c>
      <c r="G1471" s="1">
        <v>35</v>
      </c>
      <c r="H1471" s="1">
        <v>33</v>
      </c>
      <c r="I1471" s="1">
        <v>19</v>
      </c>
      <c r="J1471" s="1">
        <v>28</v>
      </c>
      <c r="K1471" s="1">
        <v>8</v>
      </c>
      <c r="L1471" s="1">
        <v>10</v>
      </c>
      <c r="M1471" s="1">
        <v>8</v>
      </c>
      <c r="N1471" s="1">
        <v>7</v>
      </c>
      <c r="O1471" s="1">
        <v>6</v>
      </c>
      <c r="P1471" s="1">
        <v>6</v>
      </c>
      <c r="Q1471" s="1">
        <v>4</v>
      </c>
      <c r="R1471" s="1">
        <v>3</v>
      </c>
      <c r="S1471" s="1">
        <v>1</v>
      </c>
      <c r="T1471" s="1">
        <v>20</v>
      </c>
      <c r="U1471" s="1">
        <v>132</v>
      </c>
      <c r="V1471" s="1">
        <v>140</v>
      </c>
    </row>
    <row r="1472" spans="1:22" x14ac:dyDescent="0.2">
      <c r="A1472" s="1" t="s">
        <v>1146</v>
      </c>
      <c r="B1472" s="1" t="s">
        <v>1478</v>
      </c>
      <c r="C1472" s="1">
        <v>227</v>
      </c>
      <c r="D1472" s="1">
        <v>191</v>
      </c>
      <c r="E1472" s="1">
        <v>301</v>
      </c>
      <c r="F1472" s="1">
        <v>443</v>
      </c>
      <c r="G1472" s="1">
        <v>474</v>
      </c>
      <c r="H1472" s="1">
        <v>842</v>
      </c>
      <c r="I1472" s="1">
        <v>607</v>
      </c>
      <c r="J1472" s="1">
        <v>646</v>
      </c>
      <c r="K1472" s="1">
        <v>674</v>
      </c>
      <c r="L1472" s="1">
        <v>1175</v>
      </c>
      <c r="M1472" s="1">
        <v>1241</v>
      </c>
      <c r="N1472" s="1">
        <v>1395</v>
      </c>
      <c r="O1472" s="1">
        <v>1598</v>
      </c>
      <c r="P1472" s="1">
        <v>1142</v>
      </c>
      <c r="Q1472" s="1">
        <v>1192</v>
      </c>
      <c r="R1472" s="1">
        <v>1161</v>
      </c>
      <c r="S1472" s="1">
        <v>1023</v>
      </c>
      <c r="T1472" s="1">
        <v>1271</v>
      </c>
      <c r="U1472" s="1">
        <v>1061</v>
      </c>
      <c r="V1472" s="1">
        <v>932</v>
      </c>
    </row>
    <row r="1473" spans="1:22" x14ac:dyDescent="0.2">
      <c r="A1473" s="1" t="s">
        <v>1146</v>
      </c>
      <c r="B1473" s="1" t="s">
        <v>1479</v>
      </c>
      <c r="C1473" s="1">
        <v>1035</v>
      </c>
      <c r="D1473" s="1">
        <v>1405</v>
      </c>
      <c r="E1473" s="1">
        <v>2229</v>
      </c>
      <c r="F1473" s="1">
        <v>2914</v>
      </c>
      <c r="G1473" s="1">
        <v>2320</v>
      </c>
      <c r="H1473" s="1">
        <v>0</v>
      </c>
      <c r="I1473" s="1">
        <v>0</v>
      </c>
      <c r="J1473" s="1">
        <v>0</v>
      </c>
      <c r="K1473" s="1">
        <v>0</v>
      </c>
      <c r="L1473" s="1">
        <v>882</v>
      </c>
      <c r="M1473" s="1">
        <v>1264</v>
      </c>
      <c r="N1473" s="1">
        <v>295</v>
      </c>
      <c r="O1473" s="1">
        <v>39</v>
      </c>
      <c r="P1473" s="1">
        <v>62</v>
      </c>
      <c r="Q1473" s="1">
        <v>91</v>
      </c>
      <c r="R1473" s="1">
        <v>106</v>
      </c>
      <c r="S1473" s="1">
        <v>75</v>
      </c>
      <c r="T1473" s="1">
        <v>53</v>
      </c>
      <c r="U1473" s="1">
        <v>65</v>
      </c>
      <c r="V1473" s="1">
        <v>74</v>
      </c>
    </row>
    <row r="1474" spans="1:22" x14ac:dyDescent="0.2">
      <c r="A1474" s="1" t="s">
        <v>1146</v>
      </c>
      <c r="B1474" s="1" t="s">
        <v>1480</v>
      </c>
      <c r="C1474" s="1">
        <f>SUM(C1475:C1492)</f>
        <v>1181</v>
      </c>
      <c r="D1474" s="1">
        <f>SUM(D1475:D1492)</f>
        <v>1300</v>
      </c>
      <c r="E1474" s="1">
        <f>SUM(E1475:E1492)</f>
        <v>1356</v>
      </c>
      <c r="F1474" s="1">
        <f>SUM(F1475:F1492)</f>
        <v>1356</v>
      </c>
      <c r="G1474" s="1">
        <f t="shared" ref="G1474:T1474" si="257">SUM(G1475:G1492)</f>
        <v>1388</v>
      </c>
      <c r="H1474" s="1">
        <f t="shared" si="257"/>
        <v>1655</v>
      </c>
      <c r="I1474" s="1">
        <f t="shared" si="257"/>
        <v>1632</v>
      </c>
      <c r="J1474" s="1">
        <f t="shared" si="257"/>
        <v>1708</v>
      </c>
      <c r="K1474" s="1">
        <f t="shared" si="257"/>
        <v>1765</v>
      </c>
      <c r="L1474" s="1">
        <f t="shared" si="257"/>
        <v>1585</v>
      </c>
      <c r="M1474" s="1">
        <f t="shared" si="257"/>
        <v>1525</v>
      </c>
      <c r="N1474" s="1">
        <f t="shared" si="257"/>
        <v>1249</v>
      </c>
      <c r="O1474" s="1">
        <f t="shared" si="257"/>
        <v>1102</v>
      </c>
      <c r="P1474" s="1">
        <f t="shared" si="257"/>
        <v>1091</v>
      </c>
      <c r="Q1474" s="1">
        <f t="shared" si="257"/>
        <v>1172</v>
      </c>
      <c r="R1474" s="1">
        <f t="shared" si="257"/>
        <v>998</v>
      </c>
      <c r="S1474" s="1">
        <f t="shared" si="257"/>
        <v>901</v>
      </c>
      <c r="T1474" s="1">
        <f t="shared" si="257"/>
        <v>973</v>
      </c>
      <c r="U1474" s="1">
        <f>SUM(U1475:U1492)</f>
        <v>891</v>
      </c>
      <c r="V1474" s="1">
        <f>SUM(V1475:V1492)</f>
        <v>1156</v>
      </c>
    </row>
    <row r="1475" spans="1:22" x14ac:dyDescent="0.2">
      <c r="A1475" s="1" t="s">
        <v>1146</v>
      </c>
      <c r="B1475" s="1" t="s">
        <v>1481</v>
      </c>
      <c r="C1475" s="1">
        <v>0</v>
      </c>
      <c r="D1475" s="1">
        <v>0</v>
      </c>
      <c r="E1475" s="1">
        <v>0</v>
      </c>
      <c r="F1475" s="1">
        <v>0</v>
      </c>
      <c r="G1475" s="1">
        <v>0</v>
      </c>
      <c r="H1475" s="1">
        <v>0</v>
      </c>
      <c r="I1475" s="1">
        <v>0</v>
      </c>
      <c r="J1475" s="1">
        <v>0</v>
      </c>
      <c r="K1475" s="1">
        <v>0</v>
      </c>
      <c r="L1475" s="1">
        <v>0</v>
      </c>
      <c r="M1475" s="1">
        <v>0</v>
      </c>
      <c r="N1475" s="1">
        <v>0</v>
      </c>
      <c r="O1475" s="1">
        <v>0</v>
      </c>
      <c r="P1475" s="1">
        <v>95</v>
      </c>
      <c r="Q1475" s="1">
        <v>9</v>
      </c>
      <c r="R1475" s="1">
        <v>32</v>
      </c>
      <c r="S1475" s="1">
        <v>30</v>
      </c>
      <c r="T1475" s="1">
        <v>31</v>
      </c>
      <c r="U1475" s="1">
        <v>19</v>
      </c>
      <c r="V1475" s="1">
        <v>23</v>
      </c>
    </row>
    <row r="1476" spans="1:22" x14ac:dyDescent="0.2">
      <c r="A1476" s="1" t="s">
        <v>1146</v>
      </c>
      <c r="B1476" s="1" t="s">
        <v>1482</v>
      </c>
      <c r="C1476" s="1">
        <v>0</v>
      </c>
      <c r="D1476" s="1">
        <v>0</v>
      </c>
      <c r="E1476" s="1">
        <v>0</v>
      </c>
      <c r="F1476" s="1">
        <v>0</v>
      </c>
      <c r="G1476" s="1">
        <v>0</v>
      </c>
      <c r="H1476" s="1">
        <v>0</v>
      </c>
      <c r="I1476" s="1">
        <v>0</v>
      </c>
      <c r="J1476" s="1">
        <v>0</v>
      </c>
      <c r="K1476" s="1">
        <v>0</v>
      </c>
      <c r="L1476" s="1">
        <v>0</v>
      </c>
      <c r="M1476" s="1">
        <v>0</v>
      </c>
      <c r="N1476" s="1">
        <v>0</v>
      </c>
      <c r="O1476" s="1">
        <v>0</v>
      </c>
      <c r="P1476" s="1">
        <v>0</v>
      </c>
      <c r="Q1476" s="1">
        <v>0</v>
      </c>
      <c r="R1476" s="1">
        <v>0</v>
      </c>
      <c r="S1476" s="1">
        <v>0</v>
      </c>
      <c r="T1476" s="1">
        <v>5</v>
      </c>
      <c r="U1476" s="1">
        <v>4</v>
      </c>
      <c r="V1476" s="1">
        <v>8</v>
      </c>
    </row>
    <row r="1477" spans="1:22" x14ac:dyDescent="0.2">
      <c r="A1477" s="1" t="s">
        <v>1146</v>
      </c>
      <c r="B1477" s="1" t="s">
        <v>1483</v>
      </c>
      <c r="C1477" s="1">
        <v>0</v>
      </c>
      <c r="D1477" s="1">
        <v>0</v>
      </c>
      <c r="E1477" s="1">
        <v>0</v>
      </c>
      <c r="F1477" s="1">
        <v>0</v>
      </c>
      <c r="G1477" s="1">
        <v>0</v>
      </c>
      <c r="H1477" s="1">
        <v>0</v>
      </c>
      <c r="I1477" s="1">
        <v>0</v>
      </c>
      <c r="J1477" s="1">
        <v>0</v>
      </c>
      <c r="K1477" s="1">
        <v>0</v>
      </c>
      <c r="L1477" s="1">
        <v>0</v>
      </c>
      <c r="M1477" s="1">
        <v>0</v>
      </c>
      <c r="N1477" s="1">
        <v>0</v>
      </c>
      <c r="O1477" s="1">
        <v>0</v>
      </c>
      <c r="P1477" s="1">
        <v>0</v>
      </c>
      <c r="Q1477" s="1">
        <v>2</v>
      </c>
      <c r="R1477" s="1">
        <v>12</v>
      </c>
      <c r="S1477" s="1">
        <v>0</v>
      </c>
      <c r="T1477" s="1">
        <v>0</v>
      </c>
      <c r="U1477" s="1">
        <v>0</v>
      </c>
      <c r="V1477" s="1">
        <v>55</v>
      </c>
    </row>
    <row r="1478" spans="1:22" x14ac:dyDescent="0.2">
      <c r="A1478" s="1" t="s">
        <v>1146</v>
      </c>
      <c r="B1478" s="1" t="s">
        <v>1484</v>
      </c>
      <c r="C1478" s="1">
        <v>0</v>
      </c>
      <c r="D1478" s="1">
        <v>0</v>
      </c>
      <c r="E1478" s="1">
        <v>0</v>
      </c>
      <c r="F1478" s="1">
        <v>0</v>
      </c>
      <c r="G1478" s="1">
        <v>0</v>
      </c>
      <c r="H1478" s="1">
        <v>0</v>
      </c>
      <c r="I1478" s="1">
        <v>0</v>
      </c>
      <c r="J1478" s="1">
        <v>0</v>
      </c>
      <c r="K1478" s="1">
        <v>0</v>
      </c>
      <c r="L1478" s="1">
        <v>0</v>
      </c>
      <c r="M1478" s="1">
        <v>0</v>
      </c>
      <c r="N1478" s="1">
        <v>0</v>
      </c>
      <c r="O1478" s="1">
        <v>0</v>
      </c>
      <c r="P1478" s="1">
        <v>0</v>
      </c>
      <c r="Q1478" s="1">
        <v>2</v>
      </c>
      <c r="R1478" s="1">
        <v>8</v>
      </c>
      <c r="S1478" s="1">
        <v>0</v>
      </c>
      <c r="T1478" s="1">
        <v>12</v>
      </c>
      <c r="U1478" s="1">
        <v>12</v>
      </c>
      <c r="V1478" s="1">
        <v>22</v>
      </c>
    </row>
    <row r="1479" spans="1:22" x14ac:dyDescent="0.2">
      <c r="A1479" s="1" t="s">
        <v>1146</v>
      </c>
      <c r="B1479" s="1" t="s">
        <v>1485</v>
      </c>
      <c r="C1479" s="1">
        <v>0</v>
      </c>
      <c r="D1479" s="1">
        <v>0</v>
      </c>
      <c r="E1479" s="1">
        <v>0</v>
      </c>
      <c r="F1479" s="1">
        <v>0</v>
      </c>
      <c r="G1479" s="1">
        <v>0</v>
      </c>
      <c r="H1479" s="1">
        <v>0</v>
      </c>
      <c r="I1479" s="1">
        <v>0</v>
      </c>
      <c r="J1479" s="1">
        <v>0</v>
      </c>
      <c r="K1479" s="1">
        <v>0</v>
      </c>
      <c r="L1479" s="1">
        <v>0</v>
      </c>
      <c r="M1479" s="1">
        <v>0</v>
      </c>
      <c r="N1479" s="1">
        <v>0</v>
      </c>
      <c r="O1479" s="1">
        <v>0</v>
      </c>
      <c r="P1479" s="1">
        <v>0</v>
      </c>
      <c r="Q1479" s="1">
        <v>1</v>
      </c>
      <c r="R1479" s="1">
        <v>12</v>
      </c>
      <c r="S1479" s="1">
        <v>0</v>
      </c>
      <c r="T1479" s="1">
        <v>29</v>
      </c>
      <c r="U1479" s="1">
        <v>29</v>
      </c>
      <c r="V1479" s="1">
        <v>43</v>
      </c>
    </row>
    <row r="1480" spans="1:22" x14ac:dyDescent="0.2">
      <c r="A1480" s="1" t="s">
        <v>1146</v>
      </c>
      <c r="B1480" s="1" t="s">
        <v>1486</v>
      </c>
      <c r="C1480" s="1">
        <v>0</v>
      </c>
      <c r="D1480" s="1">
        <v>0</v>
      </c>
      <c r="E1480" s="1">
        <v>0</v>
      </c>
      <c r="F1480" s="1">
        <v>0</v>
      </c>
      <c r="G1480" s="1">
        <v>0</v>
      </c>
      <c r="H1480" s="1">
        <v>0</v>
      </c>
      <c r="I1480" s="1">
        <v>0</v>
      </c>
      <c r="J1480" s="1">
        <v>0</v>
      </c>
      <c r="K1480" s="1">
        <v>0</v>
      </c>
      <c r="L1480" s="1">
        <v>0</v>
      </c>
      <c r="M1480" s="1">
        <v>0</v>
      </c>
      <c r="N1480" s="1">
        <v>0</v>
      </c>
      <c r="O1480" s="1">
        <v>0</v>
      </c>
      <c r="P1480" s="1">
        <v>0</v>
      </c>
      <c r="Q1480" s="1">
        <v>15</v>
      </c>
      <c r="R1480" s="1">
        <v>13</v>
      </c>
      <c r="S1480" s="1">
        <v>34</v>
      </c>
      <c r="T1480" s="1">
        <v>18</v>
      </c>
      <c r="U1480" s="1">
        <v>29</v>
      </c>
      <c r="V1480" s="1">
        <v>35</v>
      </c>
    </row>
    <row r="1481" spans="1:22" x14ac:dyDescent="0.2">
      <c r="A1481" s="1" t="s">
        <v>1146</v>
      </c>
      <c r="B1481" s="1" t="s">
        <v>1487</v>
      </c>
      <c r="C1481" s="1">
        <v>0</v>
      </c>
      <c r="D1481" s="1">
        <v>0</v>
      </c>
      <c r="E1481" s="1">
        <v>0</v>
      </c>
      <c r="F1481" s="1">
        <v>0</v>
      </c>
      <c r="G1481" s="1">
        <v>0</v>
      </c>
      <c r="H1481" s="1">
        <v>0</v>
      </c>
      <c r="I1481" s="1">
        <v>0</v>
      </c>
      <c r="J1481" s="1">
        <v>0</v>
      </c>
      <c r="K1481" s="1">
        <v>0</v>
      </c>
      <c r="L1481" s="1">
        <v>0</v>
      </c>
      <c r="M1481" s="1">
        <v>0</v>
      </c>
      <c r="N1481" s="1">
        <v>0</v>
      </c>
      <c r="O1481" s="1">
        <v>0</v>
      </c>
      <c r="P1481" s="1">
        <v>1</v>
      </c>
      <c r="Q1481" s="1">
        <v>1</v>
      </c>
      <c r="R1481" s="1">
        <v>0</v>
      </c>
      <c r="S1481" s="1">
        <v>0</v>
      </c>
      <c r="T1481" s="1">
        <v>0</v>
      </c>
      <c r="U1481" s="1">
        <v>0</v>
      </c>
      <c r="V1481" s="1">
        <v>0</v>
      </c>
    </row>
    <row r="1482" spans="1:22" x14ac:dyDescent="0.2">
      <c r="A1482" s="1" t="s">
        <v>1146</v>
      </c>
      <c r="B1482" s="1" t="s">
        <v>1488</v>
      </c>
      <c r="C1482" s="1">
        <v>0</v>
      </c>
      <c r="D1482" s="1">
        <v>0</v>
      </c>
      <c r="E1482" s="1">
        <v>0</v>
      </c>
      <c r="F1482" s="1">
        <v>0</v>
      </c>
      <c r="G1482" s="1">
        <v>0</v>
      </c>
      <c r="H1482" s="1">
        <v>0</v>
      </c>
      <c r="I1482" s="1">
        <v>0</v>
      </c>
      <c r="J1482" s="1">
        <v>0</v>
      </c>
      <c r="K1482" s="1">
        <v>0</v>
      </c>
      <c r="L1482" s="1">
        <v>0</v>
      </c>
      <c r="M1482" s="1">
        <v>0</v>
      </c>
      <c r="N1482" s="1">
        <v>0</v>
      </c>
      <c r="O1482" s="1">
        <v>0</v>
      </c>
      <c r="P1482" s="1">
        <v>3</v>
      </c>
      <c r="Q1482" s="1">
        <v>2</v>
      </c>
      <c r="R1482" s="1">
        <v>2</v>
      </c>
      <c r="S1482" s="1">
        <v>11</v>
      </c>
      <c r="T1482" s="1">
        <v>9</v>
      </c>
      <c r="U1482" s="1">
        <v>9</v>
      </c>
      <c r="V1482" s="1">
        <v>9</v>
      </c>
    </row>
    <row r="1483" spans="1:22" x14ac:dyDescent="0.2">
      <c r="A1483" s="1" t="s">
        <v>1146</v>
      </c>
      <c r="B1483" s="1" t="s">
        <v>1489</v>
      </c>
      <c r="C1483" s="1">
        <v>0</v>
      </c>
      <c r="D1483" s="1">
        <v>0</v>
      </c>
      <c r="E1483" s="1">
        <v>0</v>
      </c>
      <c r="F1483" s="1">
        <v>0</v>
      </c>
      <c r="G1483" s="1">
        <v>0</v>
      </c>
      <c r="H1483" s="1">
        <v>0</v>
      </c>
      <c r="I1483" s="1">
        <v>0</v>
      </c>
      <c r="J1483" s="1">
        <v>0</v>
      </c>
      <c r="K1483" s="1">
        <v>0</v>
      </c>
      <c r="L1483" s="1">
        <v>0</v>
      </c>
      <c r="M1483" s="1">
        <v>0</v>
      </c>
      <c r="N1483" s="1">
        <v>0</v>
      </c>
      <c r="O1483" s="1">
        <v>0</v>
      </c>
      <c r="P1483" s="1">
        <v>0</v>
      </c>
      <c r="Q1483" s="1">
        <v>1</v>
      </c>
      <c r="R1483" s="1">
        <v>3</v>
      </c>
      <c r="S1483" s="1">
        <v>5</v>
      </c>
      <c r="T1483" s="1">
        <v>0</v>
      </c>
      <c r="U1483" s="1">
        <v>0</v>
      </c>
      <c r="V1483" s="1">
        <v>6</v>
      </c>
    </row>
    <row r="1484" spans="1:22" x14ac:dyDescent="0.2">
      <c r="A1484" s="1" t="s">
        <v>1146</v>
      </c>
      <c r="B1484" s="1" t="s">
        <v>1490</v>
      </c>
      <c r="C1484" s="1">
        <v>0</v>
      </c>
      <c r="D1484" s="1">
        <v>0</v>
      </c>
      <c r="E1484" s="1">
        <v>0</v>
      </c>
      <c r="F1484" s="1">
        <v>0</v>
      </c>
      <c r="G1484" s="1">
        <v>0</v>
      </c>
      <c r="H1484" s="1">
        <v>0</v>
      </c>
      <c r="I1484" s="1">
        <v>0</v>
      </c>
      <c r="J1484" s="1">
        <v>0</v>
      </c>
      <c r="K1484" s="1">
        <v>0</v>
      </c>
      <c r="L1484" s="1">
        <v>0</v>
      </c>
      <c r="M1484" s="1">
        <v>0</v>
      </c>
      <c r="N1484" s="1">
        <v>0</v>
      </c>
      <c r="O1484" s="1">
        <v>32</v>
      </c>
      <c r="P1484" s="1">
        <v>22</v>
      </c>
      <c r="Q1484" s="1">
        <v>65</v>
      </c>
      <c r="R1484" s="1">
        <v>96</v>
      </c>
      <c r="S1484" s="1">
        <v>114</v>
      </c>
      <c r="T1484" s="1">
        <v>154</v>
      </c>
      <c r="U1484" s="1">
        <v>137</v>
      </c>
      <c r="V1484" s="1">
        <v>226</v>
      </c>
    </row>
    <row r="1485" spans="1:22" x14ac:dyDescent="0.2">
      <c r="A1485" s="1" t="s">
        <v>1146</v>
      </c>
      <c r="B1485" s="1" t="s">
        <v>1491</v>
      </c>
      <c r="C1485" s="1">
        <v>0</v>
      </c>
      <c r="D1485" s="1">
        <v>0</v>
      </c>
      <c r="E1485" s="1">
        <v>0</v>
      </c>
      <c r="F1485" s="1">
        <v>0</v>
      </c>
      <c r="G1485" s="1">
        <v>0</v>
      </c>
      <c r="H1485" s="1">
        <v>0</v>
      </c>
      <c r="I1485" s="1">
        <v>0</v>
      </c>
      <c r="J1485" s="1">
        <v>0</v>
      </c>
      <c r="K1485" s="1">
        <v>0</v>
      </c>
      <c r="L1485" s="1">
        <v>0</v>
      </c>
      <c r="M1485" s="1">
        <v>0</v>
      </c>
      <c r="N1485" s="1">
        <v>0</v>
      </c>
      <c r="O1485" s="1">
        <v>0</v>
      </c>
      <c r="P1485" s="1">
        <v>0</v>
      </c>
      <c r="Q1485" s="1">
        <v>0</v>
      </c>
      <c r="R1485" s="1">
        <v>2</v>
      </c>
      <c r="S1485" s="1">
        <v>1</v>
      </c>
      <c r="T1485" s="1">
        <v>0</v>
      </c>
      <c r="U1485" s="1">
        <v>0</v>
      </c>
      <c r="V1485" s="1">
        <v>2</v>
      </c>
    </row>
    <row r="1486" spans="1:22" x14ac:dyDescent="0.2">
      <c r="A1486" s="1" t="s">
        <v>1146</v>
      </c>
      <c r="B1486" s="1" t="s">
        <v>1492</v>
      </c>
      <c r="C1486" s="1">
        <v>0</v>
      </c>
      <c r="D1486" s="1">
        <v>0</v>
      </c>
      <c r="E1486" s="1">
        <v>0</v>
      </c>
      <c r="F1486" s="1">
        <v>0</v>
      </c>
      <c r="G1486" s="1">
        <v>0</v>
      </c>
      <c r="H1486" s="1">
        <v>0</v>
      </c>
      <c r="I1486" s="1">
        <v>0</v>
      </c>
      <c r="J1486" s="1">
        <v>0</v>
      </c>
      <c r="K1486" s="1">
        <v>0</v>
      </c>
      <c r="L1486" s="1">
        <v>0</v>
      </c>
      <c r="M1486" s="1">
        <v>0</v>
      </c>
      <c r="N1486" s="1">
        <v>0</v>
      </c>
      <c r="O1486" s="1">
        <v>0</v>
      </c>
      <c r="P1486" s="1">
        <v>0</v>
      </c>
      <c r="Q1486" s="1">
        <v>3</v>
      </c>
      <c r="R1486" s="1">
        <v>14</v>
      </c>
      <c r="S1486" s="1">
        <v>0</v>
      </c>
      <c r="T1486" s="1">
        <v>18</v>
      </c>
      <c r="U1486" s="1">
        <v>0</v>
      </c>
      <c r="V1486" s="1">
        <v>30</v>
      </c>
    </row>
    <row r="1487" spans="1:22" x14ac:dyDescent="0.2">
      <c r="A1487" s="1" t="s">
        <v>1146</v>
      </c>
      <c r="B1487" s="1" t="s">
        <v>1493</v>
      </c>
      <c r="C1487" s="1">
        <v>0</v>
      </c>
      <c r="D1487" s="1">
        <v>0</v>
      </c>
      <c r="E1487" s="1">
        <v>0</v>
      </c>
      <c r="F1487" s="1">
        <v>0</v>
      </c>
      <c r="G1487" s="1">
        <v>0</v>
      </c>
      <c r="H1487" s="1">
        <v>0</v>
      </c>
      <c r="I1487" s="1">
        <v>0</v>
      </c>
      <c r="J1487" s="1">
        <v>0</v>
      </c>
      <c r="K1487" s="1">
        <v>0</v>
      </c>
      <c r="L1487" s="1">
        <v>0</v>
      </c>
      <c r="M1487" s="1">
        <v>0</v>
      </c>
      <c r="N1487" s="1">
        <v>0</v>
      </c>
      <c r="O1487" s="1">
        <v>0</v>
      </c>
      <c r="P1487" s="1">
        <v>0</v>
      </c>
      <c r="Q1487" s="1">
        <v>0</v>
      </c>
      <c r="R1487" s="1">
        <v>0</v>
      </c>
      <c r="S1487" s="1">
        <v>0</v>
      </c>
      <c r="T1487" s="1">
        <v>3</v>
      </c>
      <c r="U1487" s="1">
        <v>6</v>
      </c>
      <c r="V1487" s="1">
        <v>13</v>
      </c>
    </row>
    <row r="1488" spans="1:22" x14ac:dyDescent="0.2">
      <c r="A1488" s="1" t="s">
        <v>1146</v>
      </c>
      <c r="B1488" s="1" t="s">
        <v>1494</v>
      </c>
      <c r="C1488" s="1">
        <v>0</v>
      </c>
      <c r="D1488" s="1">
        <v>0</v>
      </c>
      <c r="E1488" s="1">
        <v>0</v>
      </c>
      <c r="F1488" s="1">
        <v>0</v>
      </c>
      <c r="G1488" s="1">
        <v>0</v>
      </c>
      <c r="H1488" s="1">
        <v>0</v>
      </c>
      <c r="I1488" s="1">
        <v>0</v>
      </c>
      <c r="J1488" s="1">
        <v>0</v>
      </c>
      <c r="K1488" s="1">
        <v>0</v>
      </c>
      <c r="L1488" s="1">
        <v>0</v>
      </c>
      <c r="M1488" s="1">
        <v>0</v>
      </c>
      <c r="N1488" s="1">
        <v>0</v>
      </c>
      <c r="O1488" s="1">
        <v>0</v>
      </c>
      <c r="P1488" s="1">
        <v>4</v>
      </c>
      <c r="Q1488" s="1">
        <v>0</v>
      </c>
      <c r="R1488" s="1">
        <v>4</v>
      </c>
      <c r="S1488" s="1">
        <v>10</v>
      </c>
      <c r="T1488" s="1">
        <v>11</v>
      </c>
      <c r="U1488" s="1">
        <v>102</v>
      </c>
      <c r="V1488" s="1">
        <v>22</v>
      </c>
    </row>
    <row r="1489" spans="1:22" x14ac:dyDescent="0.2">
      <c r="A1489" s="1" t="s">
        <v>1146</v>
      </c>
      <c r="B1489" s="1" t="s">
        <v>1495</v>
      </c>
      <c r="C1489" s="1">
        <v>0</v>
      </c>
      <c r="D1489" s="1">
        <v>0</v>
      </c>
      <c r="E1489" s="1">
        <v>0</v>
      </c>
      <c r="F1489" s="1">
        <v>0</v>
      </c>
      <c r="G1489" s="1">
        <v>0</v>
      </c>
      <c r="H1489" s="1">
        <v>0</v>
      </c>
      <c r="I1489" s="1">
        <v>0</v>
      </c>
      <c r="J1489" s="1">
        <v>0</v>
      </c>
      <c r="K1489" s="1">
        <v>0</v>
      </c>
      <c r="L1489" s="1">
        <v>0</v>
      </c>
      <c r="M1489" s="1">
        <v>0</v>
      </c>
      <c r="N1489" s="1">
        <v>0</v>
      </c>
      <c r="O1489" s="1">
        <v>0</v>
      </c>
      <c r="P1489" s="1">
        <v>69</v>
      </c>
      <c r="Q1489" s="1">
        <v>100</v>
      </c>
      <c r="R1489" s="1">
        <v>175</v>
      </c>
      <c r="S1489" s="1">
        <v>297</v>
      </c>
      <c r="T1489" s="1">
        <v>327</v>
      </c>
      <c r="U1489" s="1">
        <v>315</v>
      </c>
      <c r="V1489" s="1">
        <v>368</v>
      </c>
    </row>
    <row r="1490" spans="1:22" x14ac:dyDescent="0.2">
      <c r="A1490" s="1" t="s">
        <v>1146</v>
      </c>
      <c r="B1490" s="1" t="s">
        <v>1496</v>
      </c>
      <c r="C1490" s="1">
        <v>0</v>
      </c>
      <c r="D1490" s="1">
        <v>0</v>
      </c>
      <c r="E1490" s="1">
        <v>0</v>
      </c>
      <c r="F1490" s="1">
        <v>0</v>
      </c>
      <c r="G1490" s="1">
        <v>0</v>
      </c>
      <c r="H1490" s="1">
        <v>0</v>
      </c>
      <c r="I1490" s="1">
        <v>0</v>
      </c>
      <c r="J1490" s="1">
        <v>0</v>
      </c>
      <c r="K1490" s="1">
        <v>0</v>
      </c>
      <c r="L1490" s="1">
        <v>0</v>
      </c>
      <c r="M1490" s="1">
        <v>0</v>
      </c>
      <c r="N1490" s="1">
        <v>0</v>
      </c>
      <c r="O1490" s="1">
        <v>0</v>
      </c>
      <c r="P1490" s="1">
        <v>0</v>
      </c>
      <c r="Q1490" s="1">
        <v>1</v>
      </c>
      <c r="R1490" s="1">
        <v>35</v>
      </c>
      <c r="S1490" s="1">
        <v>0</v>
      </c>
      <c r="T1490" s="1">
        <v>48</v>
      </c>
      <c r="U1490" s="1">
        <v>56</v>
      </c>
      <c r="V1490" s="1">
        <v>79</v>
      </c>
    </row>
    <row r="1491" spans="1:22" x14ac:dyDescent="0.2">
      <c r="A1491" s="1" t="s">
        <v>1146</v>
      </c>
      <c r="B1491" s="1" t="s">
        <v>1497</v>
      </c>
      <c r="C1491" s="1">
        <v>0</v>
      </c>
      <c r="D1491" s="1">
        <v>0</v>
      </c>
      <c r="E1491" s="1">
        <v>0</v>
      </c>
      <c r="F1491" s="1">
        <v>0</v>
      </c>
      <c r="G1491" s="1">
        <v>0</v>
      </c>
      <c r="H1491" s="1">
        <v>0</v>
      </c>
      <c r="I1491" s="1">
        <v>0</v>
      </c>
      <c r="J1491" s="1">
        <v>0</v>
      </c>
      <c r="K1491" s="1">
        <v>0</v>
      </c>
      <c r="L1491" s="1">
        <v>0</v>
      </c>
      <c r="M1491" s="1">
        <v>0</v>
      </c>
      <c r="N1491" s="1">
        <v>0</v>
      </c>
      <c r="O1491" s="1">
        <v>39</v>
      </c>
      <c r="P1491" s="1">
        <v>88</v>
      </c>
      <c r="Q1491" s="1">
        <v>0</v>
      </c>
      <c r="R1491" s="1">
        <v>46</v>
      </c>
      <c r="S1491" s="1">
        <v>58</v>
      </c>
      <c r="T1491" s="1">
        <v>0</v>
      </c>
      <c r="U1491" s="1">
        <v>0</v>
      </c>
      <c r="V1491" s="1">
        <v>0</v>
      </c>
    </row>
    <row r="1492" spans="1:22" x14ac:dyDescent="0.2">
      <c r="A1492" s="1" t="s">
        <v>1146</v>
      </c>
      <c r="B1492" s="1" t="s">
        <v>1498</v>
      </c>
      <c r="C1492" s="1">
        <v>1181</v>
      </c>
      <c r="D1492" s="1">
        <v>1300</v>
      </c>
      <c r="E1492" s="1">
        <v>1356</v>
      </c>
      <c r="F1492" s="1">
        <v>1356</v>
      </c>
      <c r="G1492" s="1">
        <v>1388</v>
      </c>
      <c r="H1492" s="1">
        <v>1655</v>
      </c>
      <c r="I1492" s="1">
        <v>1632</v>
      </c>
      <c r="J1492" s="1">
        <v>1708</v>
      </c>
      <c r="K1492" s="1">
        <v>1765</v>
      </c>
      <c r="L1492" s="1">
        <v>1585</v>
      </c>
      <c r="M1492" s="1">
        <v>1525</v>
      </c>
      <c r="N1492" s="1">
        <v>1249</v>
      </c>
      <c r="O1492" s="1">
        <v>1031</v>
      </c>
      <c r="P1492" s="1">
        <v>809</v>
      </c>
      <c r="Q1492" s="1">
        <v>970</v>
      </c>
      <c r="R1492" s="1">
        <v>544</v>
      </c>
      <c r="S1492" s="1">
        <v>341</v>
      </c>
      <c r="T1492" s="1">
        <v>308</v>
      </c>
      <c r="U1492" s="1">
        <v>173</v>
      </c>
      <c r="V1492" s="1">
        <v>215</v>
      </c>
    </row>
    <row r="1493" spans="1:22" x14ac:dyDescent="0.2">
      <c r="A1493" s="1" t="s">
        <v>1146</v>
      </c>
      <c r="B1493" s="1" t="s">
        <v>1499</v>
      </c>
      <c r="C1493" s="1">
        <f t="shared" ref="C1493:V1493" si="258">SUM(C1494:C1500)</f>
        <v>325</v>
      </c>
      <c r="D1493" s="1">
        <f t="shared" si="258"/>
        <v>383</v>
      </c>
      <c r="E1493" s="1">
        <f t="shared" si="258"/>
        <v>350</v>
      </c>
      <c r="F1493" s="1">
        <f t="shared" si="258"/>
        <v>478</v>
      </c>
      <c r="G1493" s="1">
        <f t="shared" si="258"/>
        <v>294</v>
      </c>
      <c r="H1493" s="1">
        <f t="shared" si="258"/>
        <v>306</v>
      </c>
      <c r="I1493" s="1">
        <f t="shared" si="258"/>
        <v>306</v>
      </c>
      <c r="J1493" s="1">
        <f t="shared" si="258"/>
        <v>254</v>
      </c>
      <c r="K1493" s="1">
        <f t="shared" si="258"/>
        <v>276</v>
      </c>
      <c r="L1493" s="1">
        <f t="shared" si="258"/>
        <v>444</v>
      </c>
      <c r="M1493" s="1">
        <f t="shared" si="258"/>
        <v>387</v>
      </c>
      <c r="N1493" s="1">
        <f t="shared" si="258"/>
        <v>304</v>
      </c>
      <c r="O1493" s="1">
        <f t="shared" si="258"/>
        <v>283</v>
      </c>
      <c r="P1493" s="1">
        <f t="shared" si="258"/>
        <v>269</v>
      </c>
      <c r="Q1493" s="1">
        <f t="shared" si="258"/>
        <v>256</v>
      </c>
      <c r="R1493" s="1">
        <f t="shared" si="258"/>
        <v>176</v>
      </c>
      <c r="S1493" s="1">
        <f t="shared" si="258"/>
        <v>114</v>
      </c>
      <c r="T1493" s="1">
        <f t="shared" si="258"/>
        <v>87</v>
      </c>
      <c r="U1493" s="1">
        <f t="shared" si="258"/>
        <v>133</v>
      </c>
      <c r="V1493" s="1">
        <f t="shared" si="258"/>
        <v>347</v>
      </c>
    </row>
    <row r="1494" spans="1:22" x14ac:dyDescent="0.2">
      <c r="A1494" s="1" t="s">
        <v>1146</v>
      </c>
      <c r="B1494" s="1" t="s">
        <v>1500</v>
      </c>
      <c r="C1494" s="1">
        <v>0</v>
      </c>
      <c r="D1494" s="1">
        <v>0</v>
      </c>
      <c r="E1494" s="1">
        <v>0</v>
      </c>
      <c r="F1494" s="1">
        <v>0</v>
      </c>
      <c r="G1494" s="1">
        <v>0</v>
      </c>
      <c r="H1494" s="1">
        <v>0</v>
      </c>
      <c r="I1494" s="1">
        <v>0</v>
      </c>
      <c r="J1494" s="1">
        <v>0</v>
      </c>
      <c r="K1494" s="1">
        <v>0</v>
      </c>
      <c r="L1494" s="1">
        <v>0</v>
      </c>
      <c r="M1494" s="1">
        <v>0</v>
      </c>
      <c r="N1494" s="1">
        <v>0</v>
      </c>
      <c r="O1494" s="1">
        <v>0</v>
      </c>
      <c r="P1494" s="1">
        <v>0</v>
      </c>
      <c r="Q1494" s="1">
        <v>4</v>
      </c>
      <c r="R1494" s="1">
        <v>20</v>
      </c>
      <c r="S1494" s="1">
        <v>6</v>
      </c>
      <c r="T1494" s="1">
        <v>35</v>
      </c>
      <c r="U1494" s="1">
        <v>6</v>
      </c>
      <c r="V1494" s="1">
        <v>5</v>
      </c>
    </row>
    <row r="1495" spans="1:22" x14ac:dyDescent="0.2">
      <c r="A1495" s="1" t="s">
        <v>1146</v>
      </c>
      <c r="B1495" s="1" t="s">
        <v>1501</v>
      </c>
      <c r="C1495" s="1">
        <v>0</v>
      </c>
      <c r="D1495" s="1">
        <v>0</v>
      </c>
      <c r="E1495" s="1">
        <v>0</v>
      </c>
      <c r="F1495" s="1">
        <v>0</v>
      </c>
      <c r="G1495" s="1">
        <v>0</v>
      </c>
      <c r="H1495" s="1">
        <v>0</v>
      </c>
      <c r="I1495" s="1">
        <v>0</v>
      </c>
      <c r="J1495" s="1">
        <v>0</v>
      </c>
      <c r="K1495" s="1">
        <v>0</v>
      </c>
      <c r="L1495" s="1">
        <v>0</v>
      </c>
      <c r="M1495" s="1">
        <v>0</v>
      </c>
      <c r="N1495" s="1">
        <v>0</v>
      </c>
      <c r="O1495" s="1">
        <v>0</v>
      </c>
      <c r="P1495" s="1">
        <v>0</v>
      </c>
      <c r="Q1495" s="1">
        <v>4</v>
      </c>
      <c r="R1495" s="1">
        <v>0</v>
      </c>
      <c r="S1495" s="1">
        <v>0</v>
      </c>
      <c r="T1495" s="1">
        <v>7</v>
      </c>
      <c r="U1495" s="1">
        <v>19</v>
      </c>
      <c r="V1495" s="1">
        <v>40</v>
      </c>
    </row>
    <row r="1496" spans="1:22" x14ac:dyDescent="0.2">
      <c r="A1496" s="1" t="s">
        <v>1146</v>
      </c>
      <c r="B1496" s="1" t="s">
        <v>1502</v>
      </c>
      <c r="C1496" s="1">
        <v>0</v>
      </c>
      <c r="D1496" s="1">
        <v>0</v>
      </c>
      <c r="E1496" s="1">
        <v>0</v>
      </c>
      <c r="F1496" s="1">
        <v>0</v>
      </c>
      <c r="G1496" s="1">
        <v>0</v>
      </c>
      <c r="H1496" s="1">
        <v>0</v>
      </c>
      <c r="I1496" s="1">
        <v>0</v>
      </c>
      <c r="J1496" s="1">
        <v>0</v>
      </c>
      <c r="K1496" s="1">
        <v>0</v>
      </c>
      <c r="L1496" s="1">
        <v>0</v>
      </c>
      <c r="M1496" s="1">
        <v>0</v>
      </c>
      <c r="N1496" s="1">
        <v>0</v>
      </c>
      <c r="O1496" s="1">
        <v>0</v>
      </c>
      <c r="P1496" s="1">
        <v>0</v>
      </c>
      <c r="Q1496" s="1">
        <v>1</v>
      </c>
      <c r="R1496" s="1">
        <v>17</v>
      </c>
      <c r="S1496" s="1">
        <v>6</v>
      </c>
      <c r="T1496" s="1">
        <v>6</v>
      </c>
      <c r="U1496" s="1">
        <v>9</v>
      </c>
      <c r="V1496" s="1">
        <v>14</v>
      </c>
    </row>
    <row r="1497" spans="1:22" x14ac:dyDescent="0.2">
      <c r="A1497" s="1" t="s">
        <v>1146</v>
      </c>
      <c r="B1497" s="1" t="s">
        <v>1503</v>
      </c>
      <c r="C1497" s="1">
        <v>0</v>
      </c>
      <c r="D1497" s="1">
        <v>0</v>
      </c>
      <c r="E1497" s="1">
        <v>0</v>
      </c>
      <c r="F1497" s="1">
        <v>0</v>
      </c>
      <c r="G1497" s="1">
        <v>0</v>
      </c>
      <c r="H1497" s="1">
        <v>0</v>
      </c>
      <c r="I1497" s="1">
        <v>0</v>
      </c>
      <c r="J1497" s="1">
        <v>0</v>
      </c>
      <c r="K1497" s="1">
        <v>0</v>
      </c>
      <c r="L1497" s="1">
        <v>0</v>
      </c>
      <c r="M1497" s="1">
        <v>0</v>
      </c>
      <c r="N1497" s="1">
        <v>0</v>
      </c>
      <c r="O1497" s="1">
        <v>0</v>
      </c>
      <c r="P1497" s="1">
        <v>0</v>
      </c>
      <c r="Q1497" s="1">
        <v>0</v>
      </c>
      <c r="R1497" s="1">
        <v>0</v>
      </c>
      <c r="S1497" s="1">
        <v>5</v>
      </c>
      <c r="T1497" s="1">
        <v>2</v>
      </c>
      <c r="U1497" s="1">
        <v>4</v>
      </c>
      <c r="V1497" s="1">
        <v>3</v>
      </c>
    </row>
    <row r="1498" spans="1:22" x14ac:dyDescent="0.2">
      <c r="A1498" s="1" t="s">
        <v>1146</v>
      </c>
      <c r="B1498" s="1" t="s">
        <v>1504</v>
      </c>
      <c r="C1498" s="1">
        <v>0</v>
      </c>
      <c r="D1498" s="1">
        <v>0</v>
      </c>
      <c r="E1498" s="1">
        <v>0</v>
      </c>
      <c r="F1498" s="1">
        <v>0</v>
      </c>
      <c r="G1498" s="1">
        <v>0</v>
      </c>
      <c r="H1498" s="1">
        <v>0</v>
      </c>
      <c r="I1498" s="1">
        <v>0</v>
      </c>
      <c r="J1498" s="1">
        <v>0</v>
      </c>
      <c r="K1498" s="1">
        <v>0</v>
      </c>
      <c r="L1498" s="1">
        <v>0</v>
      </c>
      <c r="M1498" s="1">
        <v>0</v>
      </c>
      <c r="N1498" s="1">
        <v>0</v>
      </c>
      <c r="O1498" s="1">
        <v>0</v>
      </c>
      <c r="P1498" s="1">
        <v>0</v>
      </c>
      <c r="Q1498" s="1">
        <v>0</v>
      </c>
      <c r="R1498" s="1">
        <v>0</v>
      </c>
      <c r="S1498" s="1">
        <v>1</v>
      </c>
      <c r="T1498" s="1">
        <v>2</v>
      </c>
      <c r="U1498" s="1">
        <v>0</v>
      </c>
      <c r="V1498" s="1">
        <v>0</v>
      </c>
    </row>
    <row r="1499" spans="1:22" x14ac:dyDescent="0.2">
      <c r="A1499" s="1" t="s">
        <v>1146</v>
      </c>
      <c r="B1499" s="1" t="s">
        <v>1505</v>
      </c>
      <c r="C1499" s="1">
        <v>0</v>
      </c>
      <c r="D1499" s="1">
        <v>0</v>
      </c>
      <c r="E1499" s="1">
        <v>0</v>
      </c>
      <c r="F1499" s="1">
        <v>0</v>
      </c>
      <c r="G1499" s="1">
        <v>0</v>
      </c>
      <c r="H1499" s="1">
        <v>0</v>
      </c>
      <c r="I1499" s="1">
        <v>0</v>
      </c>
      <c r="J1499" s="1">
        <v>0</v>
      </c>
      <c r="K1499" s="1">
        <v>0</v>
      </c>
      <c r="L1499" s="1">
        <v>0</v>
      </c>
      <c r="M1499" s="1">
        <v>0</v>
      </c>
      <c r="N1499" s="1">
        <v>0</v>
      </c>
      <c r="O1499" s="1">
        <v>0</v>
      </c>
      <c r="P1499" s="1">
        <v>0</v>
      </c>
      <c r="Q1499" s="1">
        <v>0</v>
      </c>
      <c r="R1499" s="1">
        <v>0</v>
      </c>
      <c r="S1499" s="1">
        <v>0</v>
      </c>
      <c r="T1499" s="1">
        <v>1</v>
      </c>
      <c r="U1499" s="1">
        <v>8</v>
      </c>
      <c r="V1499" s="1">
        <v>2</v>
      </c>
    </row>
    <row r="1500" spans="1:22" x14ac:dyDescent="0.2">
      <c r="A1500" s="1" t="s">
        <v>1146</v>
      </c>
      <c r="B1500" s="1" t="s">
        <v>1506</v>
      </c>
      <c r="C1500" s="1">
        <v>325</v>
      </c>
      <c r="D1500" s="1">
        <v>383</v>
      </c>
      <c r="E1500" s="1">
        <v>350</v>
      </c>
      <c r="F1500" s="1">
        <v>478</v>
      </c>
      <c r="G1500" s="1">
        <v>294</v>
      </c>
      <c r="H1500" s="1">
        <v>306</v>
      </c>
      <c r="I1500" s="1">
        <v>306</v>
      </c>
      <c r="J1500" s="1">
        <v>254</v>
      </c>
      <c r="K1500" s="1">
        <v>276</v>
      </c>
      <c r="L1500" s="1">
        <v>444</v>
      </c>
      <c r="M1500" s="1">
        <v>387</v>
      </c>
      <c r="N1500" s="1">
        <v>304</v>
      </c>
      <c r="O1500" s="1">
        <v>283</v>
      </c>
      <c r="P1500" s="1">
        <v>269</v>
      </c>
      <c r="Q1500" s="1">
        <v>247</v>
      </c>
      <c r="R1500" s="1">
        <v>139</v>
      </c>
      <c r="S1500" s="1">
        <v>96</v>
      </c>
      <c r="T1500" s="1">
        <v>34</v>
      </c>
      <c r="U1500" s="1">
        <v>87</v>
      </c>
      <c r="V1500" s="1">
        <v>283</v>
      </c>
    </row>
    <row r="1501" spans="1:22" x14ac:dyDescent="0.2">
      <c r="A1501" s="1" t="s">
        <v>1146</v>
      </c>
      <c r="B1501" s="1" t="s">
        <v>1507</v>
      </c>
      <c r="C1501" s="1">
        <f>SUM(C1502:C1512)</f>
        <v>158</v>
      </c>
      <c r="D1501" s="1">
        <f>SUM(D1502:D1512)</f>
        <v>268</v>
      </c>
      <c r="E1501" s="1">
        <f>SUM(E1502:E1512)</f>
        <v>204</v>
      </c>
      <c r="F1501" s="1">
        <f>SUM(F1502:F1512)</f>
        <v>178</v>
      </c>
      <c r="G1501" s="1">
        <f t="shared" ref="G1501:R1501" si="259">SUM(G1502:G1512)</f>
        <v>259</v>
      </c>
      <c r="H1501" s="1">
        <f t="shared" si="259"/>
        <v>158</v>
      </c>
      <c r="I1501" s="1">
        <f t="shared" si="259"/>
        <v>110</v>
      </c>
      <c r="J1501" s="1">
        <f t="shared" si="259"/>
        <v>209</v>
      </c>
      <c r="K1501" s="1">
        <f t="shared" si="259"/>
        <v>169</v>
      </c>
      <c r="L1501" s="1">
        <f t="shared" si="259"/>
        <v>122</v>
      </c>
      <c r="M1501" s="1">
        <f t="shared" si="259"/>
        <v>410</v>
      </c>
      <c r="N1501" s="1">
        <f t="shared" si="259"/>
        <v>314</v>
      </c>
      <c r="O1501" s="1">
        <f>SUM(O1502:O1512)</f>
        <v>658</v>
      </c>
      <c r="P1501" s="1">
        <f t="shared" si="259"/>
        <v>306</v>
      </c>
      <c r="Q1501" s="1">
        <f>SUM(Q1502:Q1512)</f>
        <v>245</v>
      </c>
      <c r="R1501" s="1">
        <f t="shared" si="259"/>
        <v>289</v>
      </c>
      <c r="S1501" s="1">
        <f>SUM(S1502:S1512)</f>
        <v>291</v>
      </c>
      <c r="T1501" s="1">
        <f>SUM(T1502:T1512)</f>
        <v>127</v>
      </c>
      <c r="U1501" s="1">
        <f>SUM(U1502:U1512)</f>
        <v>223</v>
      </c>
      <c r="V1501" s="1">
        <f>SUM(V1502:V1512)</f>
        <v>329</v>
      </c>
    </row>
    <row r="1502" spans="1:22" x14ac:dyDescent="0.2">
      <c r="A1502" s="1" t="s">
        <v>1146</v>
      </c>
      <c r="B1502" s="1" t="s">
        <v>1508</v>
      </c>
      <c r="C1502" s="1">
        <v>30</v>
      </c>
      <c r="D1502" s="1">
        <v>73</v>
      </c>
      <c r="E1502" s="1">
        <v>110</v>
      </c>
      <c r="F1502" s="1">
        <v>92</v>
      </c>
      <c r="G1502" s="1">
        <v>57</v>
      </c>
      <c r="H1502" s="1">
        <v>78</v>
      </c>
      <c r="I1502" s="1">
        <v>44</v>
      </c>
      <c r="J1502" s="1">
        <v>119</v>
      </c>
      <c r="K1502" s="1">
        <v>118</v>
      </c>
      <c r="L1502" s="1">
        <v>84</v>
      </c>
      <c r="M1502" s="1">
        <v>132</v>
      </c>
      <c r="N1502" s="1">
        <v>137</v>
      </c>
      <c r="O1502" s="1">
        <v>74</v>
      </c>
      <c r="P1502" s="1">
        <v>13</v>
      </c>
      <c r="Q1502" s="1">
        <v>3</v>
      </c>
      <c r="R1502" s="1">
        <v>8</v>
      </c>
      <c r="S1502" s="1">
        <v>64</v>
      </c>
      <c r="T1502" s="1">
        <v>48</v>
      </c>
      <c r="U1502" s="1">
        <v>45</v>
      </c>
      <c r="V1502" s="1">
        <v>67</v>
      </c>
    </row>
    <row r="1503" spans="1:22" x14ac:dyDescent="0.2">
      <c r="A1503" s="1" t="s">
        <v>1146</v>
      </c>
      <c r="B1503" s="1" t="s">
        <v>1509</v>
      </c>
      <c r="C1503" s="1">
        <v>0</v>
      </c>
      <c r="D1503" s="1">
        <v>0</v>
      </c>
      <c r="E1503" s="1">
        <v>0</v>
      </c>
      <c r="F1503" s="1">
        <v>0</v>
      </c>
      <c r="G1503" s="1">
        <v>0</v>
      </c>
      <c r="H1503" s="1">
        <v>0</v>
      </c>
      <c r="I1503" s="1">
        <v>0</v>
      </c>
      <c r="J1503" s="1">
        <v>0</v>
      </c>
      <c r="K1503" s="1">
        <v>0</v>
      </c>
      <c r="L1503" s="1">
        <v>0</v>
      </c>
      <c r="M1503" s="1">
        <v>0</v>
      </c>
      <c r="N1503" s="1">
        <v>0</v>
      </c>
      <c r="O1503" s="1">
        <v>0</v>
      </c>
      <c r="P1503" s="1">
        <v>0</v>
      </c>
      <c r="Q1503" s="1">
        <v>0</v>
      </c>
      <c r="R1503" s="1">
        <v>0</v>
      </c>
      <c r="S1503" s="1">
        <v>1</v>
      </c>
      <c r="T1503" s="1">
        <v>3</v>
      </c>
      <c r="U1503" s="1">
        <v>1</v>
      </c>
      <c r="V1503" s="1">
        <v>7</v>
      </c>
    </row>
    <row r="1504" spans="1:22" x14ac:dyDescent="0.2">
      <c r="A1504" s="1" t="s">
        <v>1146</v>
      </c>
      <c r="B1504" s="1" t="s">
        <v>1510</v>
      </c>
      <c r="C1504" s="1">
        <v>125</v>
      </c>
      <c r="D1504" s="1">
        <v>105</v>
      </c>
      <c r="E1504" s="1">
        <v>79</v>
      </c>
      <c r="F1504" s="1">
        <v>84</v>
      </c>
      <c r="G1504" s="1">
        <v>197</v>
      </c>
      <c r="H1504" s="1">
        <v>77</v>
      </c>
      <c r="I1504" s="1">
        <v>62</v>
      </c>
      <c r="J1504" s="1">
        <v>83</v>
      </c>
      <c r="K1504" s="1">
        <v>50</v>
      </c>
      <c r="L1504" s="1">
        <v>34</v>
      </c>
      <c r="M1504" s="1">
        <v>53</v>
      </c>
      <c r="N1504" s="1">
        <v>73</v>
      </c>
      <c r="O1504" s="1">
        <v>104</v>
      </c>
      <c r="P1504" s="1">
        <v>68</v>
      </c>
      <c r="Q1504" s="1">
        <v>40</v>
      </c>
      <c r="R1504" s="1">
        <v>12</v>
      </c>
      <c r="S1504" s="1">
        <v>15</v>
      </c>
      <c r="T1504" s="1">
        <v>20</v>
      </c>
      <c r="U1504" s="1">
        <v>14</v>
      </c>
      <c r="V1504" s="1">
        <v>32</v>
      </c>
    </row>
    <row r="1505" spans="1:22" x14ac:dyDescent="0.2">
      <c r="A1505" s="1" t="s">
        <v>1146</v>
      </c>
      <c r="B1505" s="1" t="s">
        <v>1511</v>
      </c>
      <c r="C1505" s="1">
        <v>3</v>
      </c>
      <c r="D1505" s="1">
        <v>5</v>
      </c>
      <c r="E1505" s="1">
        <v>1</v>
      </c>
      <c r="F1505" s="1">
        <v>2</v>
      </c>
      <c r="G1505" s="1">
        <v>0</v>
      </c>
      <c r="H1505" s="1">
        <v>1</v>
      </c>
      <c r="I1505" s="1">
        <v>1</v>
      </c>
      <c r="J1505" s="1">
        <v>3</v>
      </c>
      <c r="K1505" s="1">
        <v>1</v>
      </c>
      <c r="L1505" s="1">
        <v>2</v>
      </c>
      <c r="M1505" s="1">
        <v>3</v>
      </c>
      <c r="N1505" s="1">
        <v>1</v>
      </c>
      <c r="O1505" s="1">
        <v>0</v>
      </c>
      <c r="P1505" s="1">
        <v>0</v>
      </c>
      <c r="Q1505" s="1">
        <v>0</v>
      </c>
      <c r="R1505" s="1">
        <v>0</v>
      </c>
      <c r="S1505" s="1">
        <v>0</v>
      </c>
      <c r="T1505" s="1">
        <v>0</v>
      </c>
      <c r="U1505" s="1">
        <v>0</v>
      </c>
      <c r="V1505" s="1">
        <v>0</v>
      </c>
    </row>
    <row r="1506" spans="1:22" x14ac:dyDescent="0.2">
      <c r="A1506" s="1" t="s">
        <v>1146</v>
      </c>
      <c r="B1506" s="1" t="s">
        <v>1512</v>
      </c>
      <c r="C1506" s="1">
        <v>0</v>
      </c>
      <c r="D1506" s="1">
        <v>0</v>
      </c>
      <c r="E1506" s="1">
        <v>0</v>
      </c>
      <c r="F1506" s="1">
        <v>0</v>
      </c>
      <c r="G1506" s="1">
        <v>0</v>
      </c>
      <c r="H1506" s="1">
        <v>0</v>
      </c>
      <c r="I1506" s="1">
        <v>0</v>
      </c>
      <c r="J1506" s="1">
        <v>0</v>
      </c>
      <c r="K1506" s="1">
        <v>0</v>
      </c>
      <c r="L1506" s="1">
        <v>0</v>
      </c>
      <c r="M1506" s="1">
        <v>0</v>
      </c>
      <c r="N1506" s="1">
        <v>0</v>
      </c>
      <c r="O1506" s="1">
        <v>0</v>
      </c>
      <c r="P1506" s="1">
        <v>0</v>
      </c>
      <c r="Q1506" s="1">
        <v>24</v>
      </c>
      <c r="R1506" s="1">
        <v>11</v>
      </c>
      <c r="S1506" s="1">
        <v>1</v>
      </c>
      <c r="T1506" s="1">
        <v>21</v>
      </c>
      <c r="U1506" s="1">
        <v>101</v>
      </c>
      <c r="V1506" s="1">
        <v>167</v>
      </c>
    </row>
    <row r="1507" spans="1:22" x14ac:dyDescent="0.2">
      <c r="A1507" s="1" t="s">
        <v>1146</v>
      </c>
      <c r="B1507" s="1" t="s">
        <v>1513</v>
      </c>
      <c r="C1507" s="1">
        <v>0</v>
      </c>
      <c r="D1507" s="1">
        <v>0</v>
      </c>
      <c r="E1507" s="1">
        <v>0</v>
      </c>
      <c r="F1507" s="1">
        <v>0</v>
      </c>
      <c r="G1507" s="1">
        <v>0</v>
      </c>
      <c r="H1507" s="1">
        <v>0</v>
      </c>
      <c r="I1507" s="1">
        <v>0</v>
      </c>
      <c r="J1507" s="1">
        <v>0</v>
      </c>
      <c r="K1507" s="1">
        <v>0</v>
      </c>
      <c r="L1507" s="1">
        <v>0</v>
      </c>
      <c r="M1507" s="1">
        <v>0</v>
      </c>
      <c r="N1507" s="1">
        <v>0</v>
      </c>
      <c r="O1507" s="1">
        <v>0</v>
      </c>
      <c r="P1507" s="1">
        <v>0</v>
      </c>
      <c r="Q1507" s="1">
        <v>0</v>
      </c>
      <c r="R1507" s="1">
        <v>0</v>
      </c>
      <c r="S1507" s="1">
        <v>0</v>
      </c>
      <c r="T1507" s="1">
        <v>1</v>
      </c>
      <c r="U1507" s="1">
        <v>1</v>
      </c>
      <c r="V1507" s="1">
        <v>0</v>
      </c>
    </row>
    <row r="1508" spans="1:22" x14ac:dyDescent="0.2">
      <c r="A1508" s="1" t="s">
        <v>1146</v>
      </c>
      <c r="B1508" s="1" t="s">
        <v>1514</v>
      </c>
      <c r="C1508" s="1">
        <v>0</v>
      </c>
      <c r="D1508" s="1">
        <v>0</v>
      </c>
      <c r="E1508" s="1">
        <v>0</v>
      </c>
      <c r="F1508" s="1">
        <v>0</v>
      </c>
      <c r="G1508" s="1">
        <v>0</v>
      </c>
      <c r="H1508" s="1">
        <v>0</v>
      </c>
      <c r="I1508" s="1">
        <v>0</v>
      </c>
      <c r="J1508" s="1">
        <v>0</v>
      </c>
      <c r="K1508" s="1">
        <v>0</v>
      </c>
      <c r="L1508" s="1">
        <v>0</v>
      </c>
      <c r="M1508" s="1">
        <v>0</v>
      </c>
      <c r="N1508" s="1">
        <v>0</v>
      </c>
      <c r="O1508" s="1">
        <v>0</v>
      </c>
      <c r="P1508" s="1">
        <v>27</v>
      </c>
      <c r="Q1508" s="1">
        <v>22</v>
      </c>
      <c r="R1508" s="1">
        <v>30</v>
      </c>
      <c r="S1508" s="1">
        <v>17</v>
      </c>
      <c r="T1508" s="1">
        <v>6</v>
      </c>
      <c r="U1508" s="1">
        <v>0</v>
      </c>
      <c r="V1508" s="1">
        <v>4</v>
      </c>
    </row>
    <row r="1509" spans="1:22" x14ac:dyDescent="0.2">
      <c r="A1509" s="1" t="s">
        <v>1146</v>
      </c>
      <c r="B1509" s="1" t="s">
        <v>1515</v>
      </c>
      <c r="C1509" s="1">
        <v>0</v>
      </c>
      <c r="D1509" s="1">
        <v>0</v>
      </c>
      <c r="E1509" s="1">
        <v>0</v>
      </c>
      <c r="F1509" s="1">
        <v>0</v>
      </c>
      <c r="G1509" s="1">
        <v>0</v>
      </c>
      <c r="H1509" s="1">
        <v>0</v>
      </c>
      <c r="I1509" s="1">
        <v>0</v>
      </c>
      <c r="J1509" s="1">
        <v>0</v>
      </c>
      <c r="K1509" s="1">
        <v>0</v>
      </c>
      <c r="L1509" s="1">
        <v>0</v>
      </c>
      <c r="M1509" s="1">
        <v>0</v>
      </c>
      <c r="N1509" s="1">
        <v>0</v>
      </c>
      <c r="O1509" s="1">
        <v>0</v>
      </c>
      <c r="P1509" s="1">
        <v>138</v>
      </c>
      <c r="Q1509" s="1">
        <v>114</v>
      </c>
      <c r="R1509" s="1">
        <v>202</v>
      </c>
      <c r="S1509" s="1">
        <v>169</v>
      </c>
      <c r="T1509" s="1">
        <v>0</v>
      </c>
      <c r="U1509" s="1">
        <v>31</v>
      </c>
      <c r="V1509" s="1">
        <v>36</v>
      </c>
    </row>
    <row r="1510" spans="1:22" x14ac:dyDescent="0.2">
      <c r="A1510" s="1" t="s">
        <v>1146</v>
      </c>
      <c r="B1510" s="1" t="s">
        <v>1516</v>
      </c>
      <c r="C1510" s="1">
        <v>0</v>
      </c>
      <c r="D1510" s="1">
        <v>0</v>
      </c>
      <c r="E1510" s="1">
        <v>0</v>
      </c>
      <c r="F1510" s="1">
        <v>0</v>
      </c>
      <c r="G1510" s="1">
        <v>0</v>
      </c>
      <c r="H1510" s="1">
        <v>0</v>
      </c>
      <c r="I1510" s="1">
        <v>0</v>
      </c>
      <c r="J1510" s="1">
        <v>0</v>
      </c>
      <c r="K1510" s="1">
        <v>0</v>
      </c>
      <c r="L1510" s="1">
        <v>0</v>
      </c>
      <c r="M1510" s="1">
        <v>0</v>
      </c>
      <c r="N1510" s="1">
        <v>0</v>
      </c>
      <c r="O1510" s="1">
        <v>0</v>
      </c>
      <c r="P1510" s="1">
        <v>1</v>
      </c>
      <c r="Q1510" s="1">
        <v>1</v>
      </c>
      <c r="R1510" s="1">
        <v>1</v>
      </c>
      <c r="S1510" s="1">
        <v>4</v>
      </c>
      <c r="T1510" s="1">
        <v>10</v>
      </c>
      <c r="U1510" s="1">
        <v>18</v>
      </c>
      <c r="V1510" s="1">
        <v>3</v>
      </c>
    </row>
    <row r="1511" spans="1:22" x14ac:dyDescent="0.2">
      <c r="A1511" s="1" t="s">
        <v>1146</v>
      </c>
      <c r="B1511" s="1" t="s">
        <v>1517</v>
      </c>
      <c r="C1511" s="1">
        <v>0</v>
      </c>
      <c r="D1511" s="1">
        <v>0</v>
      </c>
      <c r="E1511" s="1">
        <v>0</v>
      </c>
      <c r="F1511" s="1">
        <v>0</v>
      </c>
      <c r="G1511" s="1">
        <v>0</v>
      </c>
      <c r="H1511" s="1">
        <v>0</v>
      </c>
      <c r="I1511" s="1">
        <v>0</v>
      </c>
      <c r="J1511" s="1">
        <v>0</v>
      </c>
      <c r="K1511" s="1">
        <v>0</v>
      </c>
      <c r="L1511" s="1">
        <v>0</v>
      </c>
      <c r="M1511" s="1">
        <v>0</v>
      </c>
      <c r="N1511" s="1">
        <v>0</v>
      </c>
      <c r="O1511" s="1">
        <v>0</v>
      </c>
      <c r="P1511" s="1">
        <v>1</v>
      </c>
      <c r="Q1511" s="1">
        <v>1</v>
      </c>
      <c r="R1511" s="1">
        <v>0</v>
      </c>
      <c r="S1511" s="1">
        <v>0</v>
      </c>
      <c r="T1511" s="1">
        <v>0</v>
      </c>
      <c r="U1511" s="1">
        <v>0</v>
      </c>
      <c r="V1511" s="1">
        <v>0</v>
      </c>
    </row>
    <row r="1512" spans="1:22" x14ac:dyDescent="0.2">
      <c r="A1512" s="1" t="s">
        <v>1146</v>
      </c>
      <c r="B1512" s="1" t="s">
        <v>1518</v>
      </c>
      <c r="C1512" s="1">
        <v>0</v>
      </c>
      <c r="D1512" s="1">
        <v>85</v>
      </c>
      <c r="E1512" s="1">
        <v>14</v>
      </c>
      <c r="F1512" s="1">
        <v>0</v>
      </c>
      <c r="G1512" s="1">
        <v>5</v>
      </c>
      <c r="H1512" s="1">
        <v>2</v>
      </c>
      <c r="I1512" s="1">
        <v>3</v>
      </c>
      <c r="J1512" s="1">
        <v>4</v>
      </c>
      <c r="K1512" s="1">
        <v>0</v>
      </c>
      <c r="L1512" s="1">
        <v>2</v>
      </c>
      <c r="M1512" s="1">
        <v>222</v>
      </c>
      <c r="N1512" s="1">
        <v>103</v>
      </c>
      <c r="O1512" s="1">
        <v>480</v>
      </c>
      <c r="P1512" s="1">
        <v>58</v>
      </c>
      <c r="Q1512" s="1">
        <v>40</v>
      </c>
      <c r="R1512" s="1">
        <v>25</v>
      </c>
      <c r="S1512" s="1">
        <v>20</v>
      </c>
      <c r="T1512" s="1">
        <v>18</v>
      </c>
      <c r="U1512" s="1">
        <v>12</v>
      </c>
      <c r="V1512" s="1">
        <v>13</v>
      </c>
    </row>
    <row r="1513" spans="1:22" x14ac:dyDescent="0.2">
      <c r="A1513" s="1" t="s">
        <v>1146</v>
      </c>
      <c r="B1513" s="1" t="s">
        <v>1519</v>
      </c>
      <c r="C1513" s="1">
        <f>SUM(C1514:C1520)</f>
        <v>0</v>
      </c>
      <c r="D1513" s="1">
        <f>SUM(D1514:D1520)</f>
        <v>0</v>
      </c>
      <c r="E1513" s="1">
        <f>SUM(E1514:E1520)</f>
        <v>2</v>
      </c>
      <c r="F1513" s="1">
        <f>SUM(F1514:F1520)</f>
        <v>0</v>
      </c>
      <c r="G1513" s="1">
        <f t="shared" ref="G1513:R1513" si="260">SUM(G1514:G1520)</f>
        <v>18</v>
      </c>
      <c r="H1513" s="1">
        <f t="shared" si="260"/>
        <v>44</v>
      </c>
      <c r="I1513" s="1">
        <f t="shared" si="260"/>
        <v>34</v>
      </c>
      <c r="J1513" s="1">
        <f t="shared" si="260"/>
        <v>84</v>
      </c>
      <c r="K1513" s="1">
        <f t="shared" si="260"/>
        <v>255</v>
      </c>
      <c r="L1513" s="1">
        <f t="shared" si="260"/>
        <v>638</v>
      </c>
      <c r="M1513" s="1">
        <f t="shared" si="260"/>
        <v>680</v>
      </c>
      <c r="N1513" s="1">
        <f t="shared" si="260"/>
        <v>939</v>
      </c>
      <c r="O1513" s="1">
        <f>SUM(O1514:O1520)</f>
        <v>1305</v>
      </c>
      <c r="P1513" s="1">
        <f t="shared" si="260"/>
        <v>1632</v>
      </c>
      <c r="Q1513" s="1">
        <f>SUM(Q1514:Q1520)</f>
        <v>1832</v>
      </c>
      <c r="R1513" s="1">
        <f t="shared" si="260"/>
        <v>1973</v>
      </c>
      <c r="S1513" s="1">
        <f>SUM(S1514:S1520)</f>
        <v>2515</v>
      </c>
      <c r="T1513" s="1">
        <f>SUM(T1514:T1520)</f>
        <v>2169</v>
      </c>
      <c r="U1513" s="1">
        <f>SUM(U1514:U1520)</f>
        <v>2309</v>
      </c>
      <c r="V1513" s="1">
        <f>SUM(V1514:V1520)</f>
        <v>2478</v>
      </c>
    </row>
    <row r="1514" spans="1:22" x14ac:dyDescent="0.2">
      <c r="A1514" s="1" t="s">
        <v>1146</v>
      </c>
      <c r="B1514" s="1" t="s">
        <v>1520</v>
      </c>
      <c r="C1514" s="1">
        <v>0</v>
      </c>
      <c r="D1514" s="1">
        <v>0</v>
      </c>
      <c r="E1514" s="1">
        <v>0</v>
      </c>
      <c r="F1514" s="1">
        <v>0</v>
      </c>
      <c r="G1514" s="1">
        <v>0</v>
      </c>
      <c r="H1514" s="1">
        <v>0</v>
      </c>
      <c r="I1514" s="1">
        <v>0</v>
      </c>
      <c r="J1514" s="1">
        <v>0</v>
      </c>
      <c r="K1514" s="1">
        <v>0</v>
      </c>
      <c r="L1514" s="1">
        <v>309</v>
      </c>
      <c r="M1514" s="1">
        <v>222</v>
      </c>
      <c r="N1514" s="1">
        <v>389</v>
      </c>
      <c r="O1514" s="1">
        <v>541</v>
      </c>
      <c r="P1514" s="1">
        <v>668</v>
      </c>
      <c r="Q1514" s="1">
        <v>566</v>
      </c>
      <c r="R1514" s="1">
        <v>391</v>
      </c>
      <c r="S1514" s="1">
        <v>746</v>
      </c>
      <c r="T1514" s="1">
        <v>664</v>
      </c>
      <c r="U1514" s="1">
        <v>652</v>
      </c>
      <c r="V1514" s="1">
        <v>704</v>
      </c>
    </row>
    <row r="1515" spans="1:22" x14ac:dyDescent="0.2">
      <c r="A1515" s="1" t="s">
        <v>1146</v>
      </c>
      <c r="B1515" s="1" t="s">
        <v>1521</v>
      </c>
      <c r="C1515" s="1">
        <v>0</v>
      </c>
      <c r="D1515" s="1">
        <v>0</v>
      </c>
      <c r="E1515" s="1">
        <v>0</v>
      </c>
      <c r="F1515" s="1">
        <v>0</v>
      </c>
      <c r="G1515" s="1">
        <v>0</v>
      </c>
      <c r="H1515" s="1">
        <v>0</v>
      </c>
      <c r="I1515" s="1">
        <v>0</v>
      </c>
      <c r="J1515" s="1">
        <v>0</v>
      </c>
      <c r="K1515" s="1">
        <v>0</v>
      </c>
      <c r="L1515" s="1">
        <v>0</v>
      </c>
      <c r="M1515" s="1">
        <v>0</v>
      </c>
      <c r="N1515" s="1">
        <v>0</v>
      </c>
      <c r="O1515" s="1">
        <v>0</v>
      </c>
      <c r="P1515" s="1">
        <v>0</v>
      </c>
      <c r="Q1515" s="1">
        <v>1</v>
      </c>
      <c r="R1515" s="1">
        <v>4</v>
      </c>
      <c r="S1515" s="1">
        <v>0</v>
      </c>
      <c r="T1515" s="1">
        <v>0</v>
      </c>
      <c r="U1515" s="1">
        <v>0</v>
      </c>
      <c r="V1515" s="1">
        <v>0</v>
      </c>
    </row>
    <row r="1516" spans="1:22" x14ac:dyDescent="0.2">
      <c r="A1516" s="1" t="s">
        <v>1146</v>
      </c>
      <c r="B1516" s="1" t="s">
        <v>1522</v>
      </c>
      <c r="C1516" s="1">
        <v>0</v>
      </c>
      <c r="D1516" s="1">
        <v>0</v>
      </c>
      <c r="E1516" s="1">
        <v>0</v>
      </c>
      <c r="F1516" s="1">
        <v>0</v>
      </c>
      <c r="G1516" s="1">
        <v>0</v>
      </c>
      <c r="H1516" s="1">
        <v>0</v>
      </c>
      <c r="I1516" s="1">
        <v>0</v>
      </c>
      <c r="J1516" s="1">
        <v>0</v>
      </c>
      <c r="K1516" s="1">
        <v>0</v>
      </c>
      <c r="L1516" s="1">
        <v>85</v>
      </c>
      <c r="M1516" s="1">
        <v>203</v>
      </c>
      <c r="N1516" s="1">
        <v>314</v>
      </c>
      <c r="O1516" s="1">
        <v>465</v>
      </c>
      <c r="P1516" s="1">
        <v>665</v>
      </c>
      <c r="Q1516" s="1">
        <v>972</v>
      </c>
      <c r="R1516" s="1">
        <v>499</v>
      </c>
      <c r="S1516" s="1">
        <v>541</v>
      </c>
      <c r="T1516" s="1">
        <v>691</v>
      </c>
      <c r="U1516" s="1">
        <v>671</v>
      </c>
      <c r="V1516" s="1">
        <v>591</v>
      </c>
    </row>
    <row r="1517" spans="1:22" x14ac:dyDescent="0.2">
      <c r="A1517" s="1" t="s">
        <v>1146</v>
      </c>
      <c r="B1517" s="1" t="s">
        <v>1523</v>
      </c>
      <c r="C1517" s="1">
        <v>0</v>
      </c>
      <c r="D1517" s="1">
        <v>0</v>
      </c>
      <c r="E1517" s="1">
        <v>0</v>
      </c>
      <c r="F1517" s="1">
        <v>0</v>
      </c>
      <c r="G1517" s="1">
        <v>0</v>
      </c>
      <c r="H1517" s="1">
        <v>0</v>
      </c>
      <c r="I1517" s="1">
        <v>0</v>
      </c>
      <c r="J1517" s="1">
        <v>0</v>
      </c>
      <c r="K1517" s="1">
        <v>0</v>
      </c>
      <c r="L1517" s="1">
        <v>0</v>
      </c>
      <c r="M1517" s="1">
        <v>0</v>
      </c>
      <c r="N1517" s="1">
        <v>0</v>
      </c>
      <c r="O1517" s="1">
        <v>0</v>
      </c>
      <c r="P1517" s="1">
        <v>22</v>
      </c>
      <c r="Q1517" s="1">
        <v>12</v>
      </c>
      <c r="R1517" s="1">
        <v>1</v>
      </c>
      <c r="S1517" s="1">
        <v>4</v>
      </c>
      <c r="T1517" s="1">
        <v>0</v>
      </c>
      <c r="U1517" s="1">
        <v>5</v>
      </c>
      <c r="V1517" s="1">
        <v>3</v>
      </c>
    </row>
    <row r="1518" spans="1:22" x14ac:dyDescent="0.2">
      <c r="A1518" s="1" t="s">
        <v>1146</v>
      </c>
      <c r="B1518" s="1" t="s">
        <v>1524</v>
      </c>
      <c r="C1518" s="1">
        <v>0</v>
      </c>
      <c r="D1518" s="1">
        <v>0</v>
      </c>
      <c r="E1518" s="1">
        <v>0</v>
      </c>
      <c r="F1518" s="1">
        <v>0</v>
      </c>
      <c r="G1518" s="1">
        <v>0</v>
      </c>
      <c r="H1518" s="1">
        <v>0</v>
      </c>
      <c r="I1518" s="1">
        <v>0</v>
      </c>
      <c r="J1518" s="1">
        <v>0</v>
      </c>
      <c r="K1518" s="1">
        <v>0</v>
      </c>
      <c r="L1518" s="1">
        <v>0</v>
      </c>
      <c r="M1518" s="1">
        <v>0</v>
      </c>
      <c r="N1518" s="1">
        <v>0</v>
      </c>
      <c r="O1518" s="1">
        <v>17</v>
      </c>
      <c r="P1518" s="1">
        <v>89</v>
      </c>
      <c r="Q1518" s="1">
        <v>71</v>
      </c>
      <c r="R1518" s="1">
        <v>119</v>
      </c>
      <c r="S1518" s="1">
        <v>125</v>
      </c>
      <c r="T1518" s="1">
        <v>253</v>
      </c>
      <c r="U1518" s="1">
        <v>414</v>
      </c>
      <c r="V1518" s="1">
        <v>517</v>
      </c>
    </row>
    <row r="1519" spans="1:22" x14ac:dyDescent="0.2">
      <c r="A1519" s="1" t="s">
        <v>1146</v>
      </c>
      <c r="B1519" s="1" t="s">
        <v>1525</v>
      </c>
      <c r="C1519" s="1">
        <v>0</v>
      </c>
      <c r="D1519" s="1">
        <v>0</v>
      </c>
      <c r="E1519" s="1">
        <v>0</v>
      </c>
      <c r="F1519" s="1">
        <v>0</v>
      </c>
      <c r="G1519" s="1">
        <v>0</v>
      </c>
      <c r="H1519" s="1">
        <v>0</v>
      </c>
      <c r="I1519" s="1">
        <v>0</v>
      </c>
      <c r="J1519" s="1">
        <v>0</v>
      </c>
      <c r="K1519" s="1">
        <v>0</v>
      </c>
      <c r="L1519" s="1">
        <v>0</v>
      </c>
      <c r="M1519" s="1">
        <v>0</v>
      </c>
      <c r="N1519" s="1">
        <v>0</v>
      </c>
      <c r="O1519" s="1">
        <v>0</v>
      </c>
      <c r="P1519" s="1">
        <v>0</v>
      </c>
      <c r="Q1519" s="1">
        <v>3</v>
      </c>
      <c r="R1519" s="1">
        <v>1</v>
      </c>
      <c r="S1519" s="1">
        <v>1</v>
      </c>
      <c r="T1519" s="1">
        <v>1</v>
      </c>
      <c r="U1519" s="1">
        <v>0</v>
      </c>
      <c r="V1519" s="1">
        <v>0</v>
      </c>
    </row>
    <row r="1520" spans="1:22" x14ac:dyDescent="0.2">
      <c r="A1520" s="1" t="s">
        <v>1146</v>
      </c>
      <c r="B1520" s="1" t="s">
        <v>1526</v>
      </c>
      <c r="C1520" s="1">
        <v>0</v>
      </c>
      <c r="D1520" s="1">
        <v>0</v>
      </c>
      <c r="E1520" s="1">
        <v>2</v>
      </c>
      <c r="F1520" s="1">
        <v>0</v>
      </c>
      <c r="G1520" s="1">
        <v>18</v>
      </c>
      <c r="H1520" s="1">
        <v>44</v>
      </c>
      <c r="I1520" s="1">
        <v>34</v>
      </c>
      <c r="J1520" s="1">
        <v>84</v>
      </c>
      <c r="K1520" s="1">
        <v>255</v>
      </c>
      <c r="L1520" s="1">
        <v>244</v>
      </c>
      <c r="M1520" s="1">
        <v>255</v>
      </c>
      <c r="N1520" s="1">
        <v>236</v>
      </c>
      <c r="O1520" s="1">
        <v>282</v>
      </c>
      <c r="P1520" s="1">
        <v>188</v>
      </c>
      <c r="Q1520" s="1">
        <v>207</v>
      </c>
      <c r="R1520" s="1">
        <v>958</v>
      </c>
      <c r="S1520" s="1">
        <v>1098</v>
      </c>
      <c r="T1520" s="1">
        <v>560</v>
      </c>
      <c r="U1520" s="1">
        <v>567</v>
      </c>
      <c r="V1520" s="1">
        <v>663</v>
      </c>
    </row>
    <row r="1521" spans="1:22" x14ac:dyDescent="0.2">
      <c r="A1521" s="1" t="s">
        <v>1146</v>
      </c>
      <c r="B1521" s="1" t="s">
        <v>1527</v>
      </c>
      <c r="C1521" s="1">
        <f>SUM(C1522:C1533)</f>
        <v>1115</v>
      </c>
      <c r="D1521" s="1">
        <f>SUM(D1522:D1533)</f>
        <v>1748</v>
      </c>
      <c r="E1521" s="1">
        <f>SUM(E1522:E1533)</f>
        <v>1452</v>
      </c>
      <c r="F1521" s="1">
        <f>SUM(F1522:F1533)</f>
        <v>2497</v>
      </c>
      <c r="G1521" s="1">
        <f t="shared" ref="G1521:R1521" si="261">SUM(G1522:G1533)</f>
        <v>2666</v>
      </c>
      <c r="H1521" s="1">
        <f t="shared" si="261"/>
        <v>3229</v>
      </c>
      <c r="I1521" s="1">
        <f>SUM(I1522:I1533)</f>
        <v>3007</v>
      </c>
      <c r="J1521" s="1">
        <f t="shared" si="261"/>
        <v>3547</v>
      </c>
      <c r="K1521" s="1">
        <f t="shared" si="261"/>
        <v>5757</v>
      </c>
      <c r="L1521" s="1">
        <f t="shared" si="261"/>
        <v>6823</v>
      </c>
      <c r="M1521" s="1">
        <f t="shared" si="261"/>
        <v>6293</v>
      </c>
      <c r="N1521" s="1">
        <f t="shared" si="261"/>
        <v>5371</v>
      </c>
      <c r="O1521" s="1">
        <f t="shared" si="261"/>
        <v>4318</v>
      </c>
      <c r="P1521" s="1">
        <f t="shared" si="261"/>
        <v>3217</v>
      </c>
      <c r="Q1521" s="1">
        <f t="shared" si="261"/>
        <v>3108</v>
      </c>
      <c r="R1521" s="1">
        <f t="shared" si="261"/>
        <v>2880</v>
      </c>
      <c r="S1521" s="1">
        <f>SUM(S1522:S1533)</f>
        <v>2716</v>
      </c>
      <c r="T1521" s="1">
        <f>SUM(T1522:T1533)</f>
        <v>2725</v>
      </c>
      <c r="U1521" s="1">
        <f>SUM(U1522:U1533)</f>
        <v>2646</v>
      </c>
      <c r="V1521" s="1">
        <f>SUM(V1522:V1533)</f>
        <v>2942</v>
      </c>
    </row>
    <row r="1522" spans="1:22" x14ac:dyDescent="0.2">
      <c r="A1522" s="1" t="s">
        <v>1146</v>
      </c>
      <c r="B1522" s="1" t="s">
        <v>1528</v>
      </c>
      <c r="C1522" s="1">
        <v>0</v>
      </c>
      <c r="D1522" s="1">
        <v>0</v>
      </c>
      <c r="E1522" s="1">
        <v>0</v>
      </c>
      <c r="F1522" s="1">
        <v>0</v>
      </c>
      <c r="G1522" s="1">
        <v>0</v>
      </c>
      <c r="H1522" s="1">
        <v>0</v>
      </c>
      <c r="I1522" s="1">
        <v>0</v>
      </c>
      <c r="J1522" s="1">
        <v>12</v>
      </c>
      <c r="K1522" s="1">
        <v>2</v>
      </c>
      <c r="L1522" s="1">
        <v>1</v>
      </c>
      <c r="M1522" s="1">
        <v>1</v>
      </c>
      <c r="N1522" s="1">
        <v>1</v>
      </c>
      <c r="O1522" s="1">
        <v>0</v>
      </c>
      <c r="P1522" s="1">
        <v>0</v>
      </c>
      <c r="Q1522" s="1">
        <v>0</v>
      </c>
      <c r="R1522" s="1">
        <v>0</v>
      </c>
      <c r="S1522" s="1">
        <v>1</v>
      </c>
      <c r="T1522" s="1">
        <v>0</v>
      </c>
      <c r="U1522" s="1">
        <v>0</v>
      </c>
      <c r="V1522" s="1">
        <v>0</v>
      </c>
    </row>
    <row r="1523" spans="1:22" x14ac:dyDescent="0.2">
      <c r="A1523" s="1" t="s">
        <v>1146</v>
      </c>
      <c r="B1523" s="1" t="s">
        <v>1529</v>
      </c>
      <c r="C1523" s="1">
        <v>0</v>
      </c>
      <c r="D1523" s="1">
        <v>0</v>
      </c>
      <c r="E1523" s="1">
        <v>0</v>
      </c>
      <c r="F1523" s="1">
        <v>0</v>
      </c>
      <c r="G1523" s="1">
        <v>0</v>
      </c>
      <c r="H1523" s="1">
        <v>0</v>
      </c>
      <c r="I1523" s="1">
        <v>0</v>
      </c>
      <c r="J1523" s="1">
        <v>0</v>
      </c>
      <c r="K1523" s="1">
        <v>6</v>
      </c>
      <c r="L1523" s="1">
        <v>6</v>
      </c>
      <c r="M1523" s="1">
        <v>3</v>
      </c>
      <c r="N1523" s="1">
        <v>0</v>
      </c>
      <c r="O1523" s="1">
        <v>0</v>
      </c>
      <c r="P1523" s="1">
        <v>0</v>
      </c>
      <c r="Q1523" s="1">
        <v>0</v>
      </c>
      <c r="R1523" s="1">
        <v>3</v>
      </c>
      <c r="S1523" s="1">
        <v>1</v>
      </c>
      <c r="T1523" s="1">
        <v>2</v>
      </c>
      <c r="U1523" s="1">
        <v>5</v>
      </c>
      <c r="V1523" s="1">
        <v>2</v>
      </c>
    </row>
    <row r="1524" spans="1:22" x14ac:dyDescent="0.2">
      <c r="A1524" s="1" t="s">
        <v>1146</v>
      </c>
      <c r="B1524" s="1" t="s">
        <v>1530</v>
      </c>
      <c r="C1524" s="1">
        <v>0</v>
      </c>
      <c r="D1524" s="1">
        <v>0</v>
      </c>
      <c r="E1524" s="1">
        <v>0</v>
      </c>
      <c r="F1524" s="1">
        <v>0</v>
      </c>
      <c r="G1524" s="1">
        <v>0</v>
      </c>
      <c r="H1524" s="1">
        <v>0</v>
      </c>
      <c r="I1524" s="1">
        <v>0</v>
      </c>
      <c r="J1524" s="1">
        <v>181</v>
      </c>
      <c r="K1524" s="1">
        <v>201</v>
      </c>
      <c r="L1524" s="1">
        <v>88</v>
      </c>
      <c r="M1524" s="1">
        <v>20</v>
      </c>
      <c r="N1524" s="1">
        <v>45</v>
      </c>
      <c r="O1524" s="1">
        <v>50</v>
      </c>
      <c r="P1524" s="1">
        <v>79</v>
      </c>
      <c r="Q1524" s="1">
        <v>116</v>
      </c>
      <c r="R1524" s="1">
        <v>119</v>
      </c>
      <c r="S1524" s="1">
        <v>99</v>
      </c>
      <c r="T1524" s="1">
        <v>136</v>
      </c>
      <c r="U1524" s="1">
        <v>258</v>
      </c>
      <c r="V1524" s="1">
        <v>296</v>
      </c>
    </row>
    <row r="1525" spans="1:22" x14ac:dyDescent="0.2">
      <c r="A1525" s="1" t="s">
        <v>1146</v>
      </c>
      <c r="B1525" s="1" t="s">
        <v>1531</v>
      </c>
      <c r="C1525" s="1">
        <v>0</v>
      </c>
      <c r="D1525" s="1">
        <v>0</v>
      </c>
      <c r="E1525" s="1">
        <v>0</v>
      </c>
      <c r="F1525" s="1">
        <v>0</v>
      </c>
      <c r="G1525" s="1">
        <v>0</v>
      </c>
      <c r="H1525" s="1">
        <v>0</v>
      </c>
      <c r="I1525" s="1">
        <v>0</v>
      </c>
      <c r="J1525" s="1">
        <v>51</v>
      </c>
      <c r="K1525" s="1">
        <v>20</v>
      </c>
      <c r="L1525" s="1">
        <v>38</v>
      </c>
      <c r="M1525" s="1">
        <v>54</v>
      </c>
      <c r="N1525" s="1">
        <v>45</v>
      </c>
      <c r="O1525" s="1">
        <v>39</v>
      </c>
      <c r="P1525" s="1">
        <v>49</v>
      </c>
      <c r="Q1525" s="1">
        <v>42</v>
      </c>
      <c r="R1525" s="1">
        <v>28</v>
      </c>
      <c r="S1525" s="1">
        <v>46</v>
      </c>
      <c r="T1525" s="1">
        <v>58</v>
      </c>
      <c r="U1525" s="1">
        <v>35</v>
      </c>
      <c r="V1525" s="1">
        <v>60</v>
      </c>
    </row>
    <row r="1526" spans="1:22" x14ac:dyDescent="0.2">
      <c r="A1526" s="1" t="s">
        <v>1146</v>
      </c>
      <c r="B1526" s="1" t="s">
        <v>1532</v>
      </c>
      <c r="C1526" s="1">
        <v>0</v>
      </c>
      <c r="D1526" s="1">
        <v>0</v>
      </c>
      <c r="E1526" s="1">
        <v>0</v>
      </c>
      <c r="F1526" s="1">
        <v>0</v>
      </c>
      <c r="G1526" s="1">
        <v>0</v>
      </c>
      <c r="H1526" s="1">
        <v>0</v>
      </c>
      <c r="I1526" s="1">
        <v>0</v>
      </c>
      <c r="J1526" s="1">
        <v>5</v>
      </c>
      <c r="K1526" s="1">
        <v>7</v>
      </c>
      <c r="L1526" s="1">
        <v>2</v>
      </c>
      <c r="M1526" s="1">
        <v>0</v>
      </c>
      <c r="N1526" s="1">
        <v>0</v>
      </c>
      <c r="O1526" s="1">
        <v>0</v>
      </c>
      <c r="P1526" s="1">
        <v>0</v>
      </c>
      <c r="Q1526" s="1">
        <v>0</v>
      </c>
      <c r="R1526" s="1">
        <v>1</v>
      </c>
      <c r="S1526" s="1">
        <v>23</v>
      </c>
      <c r="T1526" s="1">
        <v>0</v>
      </c>
      <c r="U1526" s="1">
        <v>0</v>
      </c>
      <c r="V1526" s="1">
        <v>0</v>
      </c>
    </row>
    <row r="1527" spans="1:22" x14ac:dyDescent="0.2">
      <c r="A1527" s="1" t="s">
        <v>1146</v>
      </c>
      <c r="B1527" s="1" t="s">
        <v>1533</v>
      </c>
      <c r="C1527" s="1">
        <v>0</v>
      </c>
      <c r="D1527" s="1">
        <v>0</v>
      </c>
      <c r="E1527" s="1">
        <v>0</v>
      </c>
      <c r="F1527" s="1">
        <v>0</v>
      </c>
      <c r="G1527" s="1">
        <v>0</v>
      </c>
      <c r="H1527" s="1">
        <v>0</v>
      </c>
      <c r="I1527" s="1">
        <v>0</v>
      </c>
      <c r="J1527" s="1">
        <v>1</v>
      </c>
      <c r="K1527" s="1">
        <v>0</v>
      </c>
      <c r="L1527" s="1">
        <v>4</v>
      </c>
      <c r="M1527" s="1">
        <v>1</v>
      </c>
      <c r="N1527" s="1">
        <v>2</v>
      </c>
      <c r="O1527" s="1">
        <v>1</v>
      </c>
      <c r="P1527" s="1">
        <v>0</v>
      </c>
      <c r="Q1527" s="1">
        <v>0</v>
      </c>
      <c r="R1527" s="1">
        <v>0</v>
      </c>
      <c r="S1527" s="1">
        <v>0</v>
      </c>
      <c r="T1527" s="1">
        <v>0</v>
      </c>
      <c r="U1527" s="1">
        <v>0</v>
      </c>
      <c r="V1527" s="1">
        <v>0</v>
      </c>
    </row>
    <row r="1528" spans="1:22" x14ac:dyDescent="0.2">
      <c r="A1528" s="1" t="s">
        <v>1146</v>
      </c>
      <c r="B1528" s="1" t="s">
        <v>1534</v>
      </c>
      <c r="C1528" s="1">
        <v>0</v>
      </c>
      <c r="D1528" s="1">
        <v>0</v>
      </c>
      <c r="E1528" s="1">
        <v>0</v>
      </c>
      <c r="F1528" s="1">
        <v>0</v>
      </c>
      <c r="G1528" s="1">
        <v>0</v>
      </c>
      <c r="H1528" s="1">
        <v>0</v>
      </c>
      <c r="I1528" s="1">
        <v>0</v>
      </c>
      <c r="J1528" s="1">
        <v>0</v>
      </c>
      <c r="K1528" s="1">
        <v>6</v>
      </c>
      <c r="L1528" s="1">
        <v>1</v>
      </c>
      <c r="M1528" s="1">
        <v>118</v>
      </c>
      <c r="N1528" s="1">
        <v>0</v>
      </c>
      <c r="O1528" s="1">
        <v>0</v>
      </c>
      <c r="P1528" s="1">
        <v>0</v>
      </c>
      <c r="Q1528" s="1">
        <v>0</v>
      </c>
      <c r="R1528" s="1">
        <v>0</v>
      </c>
      <c r="S1528" s="1">
        <v>0</v>
      </c>
      <c r="T1528" s="1">
        <v>0</v>
      </c>
      <c r="U1528" s="1">
        <v>0</v>
      </c>
      <c r="V1528" s="1">
        <v>0</v>
      </c>
    </row>
    <row r="1529" spans="1:22" x14ac:dyDescent="0.2">
      <c r="A1529" s="1" t="s">
        <v>1146</v>
      </c>
      <c r="B1529" s="1" t="s">
        <v>1535</v>
      </c>
      <c r="C1529" s="1">
        <v>0</v>
      </c>
      <c r="D1529" s="1">
        <v>0</v>
      </c>
      <c r="E1529" s="1">
        <v>0</v>
      </c>
      <c r="F1529" s="1">
        <v>0</v>
      </c>
      <c r="G1529" s="1">
        <v>0</v>
      </c>
      <c r="H1529" s="1">
        <v>0</v>
      </c>
      <c r="I1529" s="1">
        <v>0</v>
      </c>
      <c r="J1529" s="1">
        <v>2</v>
      </c>
      <c r="K1529" s="1">
        <v>6</v>
      </c>
      <c r="L1529" s="1">
        <v>1</v>
      </c>
      <c r="M1529" s="1">
        <v>0</v>
      </c>
      <c r="N1529" s="1">
        <v>0</v>
      </c>
      <c r="O1529" s="1">
        <v>4</v>
      </c>
      <c r="P1529" s="1">
        <v>3</v>
      </c>
      <c r="Q1529" s="1">
        <v>0</v>
      </c>
      <c r="R1529" s="1">
        <v>0</v>
      </c>
      <c r="S1529" s="1">
        <v>0</v>
      </c>
      <c r="T1529" s="1">
        <v>0</v>
      </c>
      <c r="U1529" s="1">
        <v>0</v>
      </c>
      <c r="V1529" s="1">
        <v>1</v>
      </c>
    </row>
    <row r="1530" spans="1:22" x14ac:dyDescent="0.2">
      <c r="A1530" s="1" t="s">
        <v>1146</v>
      </c>
      <c r="B1530" s="1" t="s">
        <v>1536</v>
      </c>
      <c r="C1530" s="1">
        <v>0</v>
      </c>
      <c r="D1530" s="1">
        <v>0</v>
      </c>
      <c r="E1530" s="1">
        <v>0</v>
      </c>
      <c r="F1530" s="1">
        <v>0</v>
      </c>
      <c r="G1530" s="1">
        <v>0</v>
      </c>
      <c r="H1530" s="1">
        <v>0</v>
      </c>
      <c r="I1530" s="1">
        <v>0</v>
      </c>
      <c r="J1530" s="1">
        <v>1960</v>
      </c>
      <c r="K1530" s="1">
        <v>3641</v>
      </c>
      <c r="L1530" s="1">
        <v>5002</v>
      </c>
      <c r="M1530" s="1">
        <v>4522</v>
      </c>
      <c r="N1530" s="1">
        <v>4034</v>
      </c>
      <c r="O1530" s="1">
        <v>3579</v>
      </c>
      <c r="P1530" s="1">
        <v>2551</v>
      </c>
      <c r="Q1530" s="1">
        <v>2378</v>
      </c>
      <c r="R1530" s="1">
        <v>2306</v>
      </c>
      <c r="S1530" s="1">
        <v>2141</v>
      </c>
      <c r="T1530" s="1">
        <v>2357</v>
      </c>
      <c r="U1530" s="1">
        <v>2190</v>
      </c>
      <c r="V1530" s="1">
        <v>2356</v>
      </c>
    </row>
    <row r="1531" spans="1:22" x14ac:dyDescent="0.2">
      <c r="A1531" s="1" t="s">
        <v>1146</v>
      </c>
      <c r="B1531" s="1" t="s">
        <v>1537</v>
      </c>
      <c r="C1531" s="1">
        <v>0</v>
      </c>
      <c r="D1531" s="1">
        <v>0</v>
      </c>
      <c r="E1531" s="1">
        <v>0</v>
      </c>
      <c r="F1531" s="1">
        <v>0</v>
      </c>
      <c r="G1531" s="1">
        <v>0</v>
      </c>
      <c r="H1531" s="1">
        <v>0</v>
      </c>
      <c r="I1531" s="1">
        <v>0</v>
      </c>
      <c r="J1531" s="1">
        <v>218</v>
      </c>
      <c r="K1531" s="1">
        <v>669</v>
      </c>
      <c r="L1531" s="1">
        <v>274</v>
      </c>
      <c r="M1531" s="1">
        <v>398</v>
      </c>
      <c r="N1531" s="1">
        <v>776</v>
      </c>
      <c r="O1531" s="1">
        <v>229</v>
      </c>
      <c r="P1531" s="1">
        <v>222</v>
      </c>
      <c r="Q1531" s="1">
        <v>184</v>
      </c>
      <c r="R1531" s="1">
        <v>138</v>
      </c>
      <c r="S1531" s="1">
        <v>185</v>
      </c>
      <c r="T1531" s="1">
        <v>34</v>
      </c>
      <c r="U1531" s="1">
        <v>27</v>
      </c>
      <c r="V1531" s="1">
        <v>22</v>
      </c>
    </row>
    <row r="1532" spans="1:22" x14ac:dyDescent="0.2">
      <c r="A1532" s="1" t="s">
        <v>1146</v>
      </c>
      <c r="B1532" s="1" t="s">
        <v>1538</v>
      </c>
      <c r="C1532" s="1">
        <v>0</v>
      </c>
      <c r="D1532" s="1">
        <v>0</v>
      </c>
      <c r="E1532" s="1">
        <v>0</v>
      </c>
      <c r="F1532" s="1">
        <v>0</v>
      </c>
      <c r="G1532" s="1">
        <v>0</v>
      </c>
      <c r="H1532" s="1">
        <v>0</v>
      </c>
      <c r="I1532" s="1">
        <v>0</v>
      </c>
      <c r="J1532" s="1">
        <v>1036</v>
      </c>
      <c r="K1532" s="1">
        <v>998</v>
      </c>
      <c r="L1532" s="1">
        <v>538</v>
      </c>
      <c r="M1532" s="1">
        <v>417</v>
      </c>
      <c r="N1532" s="1">
        <v>303</v>
      </c>
      <c r="O1532" s="1">
        <v>330</v>
      </c>
      <c r="P1532" s="1">
        <v>115</v>
      </c>
      <c r="Q1532" s="1">
        <v>155</v>
      </c>
      <c r="R1532" s="1">
        <v>100</v>
      </c>
      <c r="S1532" s="1">
        <v>65</v>
      </c>
      <c r="T1532" s="1">
        <v>70</v>
      </c>
      <c r="U1532" s="1">
        <v>67</v>
      </c>
      <c r="V1532" s="1">
        <v>131</v>
      </c>
    </row>
    <row r="1533" spans="1:22" x14ac:dyDescent="0.2">
      <c r="A1533" s="1" t="s">
        <v>1146</v>
      </c>
      <c r="B1533" s="1" t="s">
        <v>1539</v>
      </c>
      <c r="C1533" s="1">
        <v>1115</v>
      </c>
      <c r="D1533" s="1">
        <v>1748</v>
      </c>
      <c r="E1533" s="1">
        <v>1452</v>
      </c>
      <c r="F1533" s="1">
        <v>2497</v>
      </c>
      <c r="G1533" s="1">
        <v>2666</v>
      </c>
      <c r="H1533" s="1">
        <v>3229</v>
      </c>
      <c r="I1533" s="1">
        <v>3007</v>
      </c>
      <c r="J1533" s="1">
        <v>81</v>
      </c>
      <c r="K1533" s="1">
        <v>201</v>
      </c>
      <c r="L1533" s="1">
        <v>868</v>
      </c>
      <c r="M1533" s="1">
        <v>759</v>
      </c>
      <c r="N1533" s="1">
        <v>165</v>
      </c>
      <c r="O1533" s="1">
        <v>86</v>
      </c>
      <c r="P1533" s="1">
        <v>198</v>
      </c>
      <c r="Q1533" s="1">
        <v>233</v>
      </c>
      <c r="R1533" s="1">
        <v>185</v>
      </c>
      <c r="S1533" s="1">
        <v>155</v>
      </c>
      <c r="T1533" s="1">
        <v>68</v>
      </c>
      <c r="U1533" s="1">
        <v>64</v>
      </c>
      <c r="V1533" s="1">
        <v>74</v>
      </c>
    </row>
    <row r="1534" spans="1:22" x14ac:dyDescent="0.2">
      <c r="A1534" s="1" t="s">
        <v>1146</v>
      </c>
      <c r="B1534" s="1" t="s">
        <v>1540</v>
      </c>
      <c r="C1534" s="1">
        <f>SUM(C1535:C1556)</f>
        <v>0</v>
      </c>
      <c r="D1534" s="1">
        <f>SUM(D1535:D1556)</f>
        <v>0</v>
      </c>
      <c r="E1534" s="1">
        <f>SUM(E1535:E1556)</f>
        <v>0</v>
      </c>
      <c r="F1534" s="1">
        <f>SUM(F1535:F1556)</f>
        <v>0</v>
      </c>
      <c r="G1534" s="1">
        <f t="shared" ref="G1534:R1534" si="262">SUM(G1535:G1556)</f>
        <v>0</v>
      </c>
      <c r="H1534" s="1">
        <f t="shared" si="262"/>
        <v>0</v>
      </c>
      <c r="I1534" s="1">
        <f>SUM(I1535:I1556)</f>
        <v>0</v>
      </c>
      <c r="J1534" s="1">
        <f t="shared" si="262"/>
        <v>5149</v>
      </c>
      <c r="K1534" s="1">
        <f t="shared" si="262"/>
        <v>14707</v>
      </c>
      <c r="L1534" s="1">
        <f t="shared" si="262"/>
        <v>10510</v>
      </c>
      <c r="M1534" s="1">
        <f t="shared" si="262"/>
        <v>12510</v>
      </c>
      <c r="N1534" s="1">
        <f t="shared" si="262"/>
        <v>17448</v>
      </c>
      <c r="O1534" s="1">
        <f t="shared" si="262"/>
        <v>20851</v>
      </c>
      <c r="P1534" s="1">
        <f t="shared" si="262"/>
        <v>20349</v>
      </c>
      <c r="Q1534" s="1">
        <f t="shared" si="262"/>
        <v>19284</v>
      </c>
      <c r="R1534" s="1">
        <f t="shared" si="262"/>
        <v>18693</v>
      </c>
      <c r="S1534" s="1">
        <f>SUM(S1535:S1556)</f>
        <v>18971</v>
      </c>
      <c r="T1534" s="1">
        <f>SUM(T1535:T1556)</f>
        <v>18675</v>
      </c>
      <c r="U1534" s="1">
        <f>SUM(U1535:U1556)</f>
        <v>20077</v>
      </c>
      <c r="V1534" s="1">
        <f>SUM(V1535:V1556)</f>
        <v>21122</v>
      </c>
    </row>
    <row r="1535" spans="1:22" x14ac:dyDescent="0.2">
      <c r="A1535" s="1" t="s">
        <v>1146</v>
      </c>
      <c r="B1535" s="1" t="s">
        <v>1541</v>
      </c>
      <c r="C1535" s="1">
        <v>0</v>
      </c>
      <c r="D1535" s="1">
        <v>0</v>
      </c>
      <c r="E1535" s="1">
        <v>0</v>
      </c>
      <c r="F1535" s="1">
        <v>0</v>
      </c>
      <c r="G1535" s="1">
        <v>0</v>
      </c>
      <c r="H1535" s="1">
        <v>0</v>
      </c>
      <c r="I1535" s="1">
        <v>0</v>
      </c>
      <c r="J1535" s="1">
        <v>247</v>
      </c>
      <c r="K1535" s="1">
        <v>905</v>
      </c>
      <c r="L1535" s="1">
        <v>3913</v>
      </c>
      <c r="M1535" s="1">
        <v>6403</v>
      </c>
      <c r="N1535" s="1">
        <v>6069</v>
      </c>
      <c r="O1535" s="1">
        <v>3848</v>
      </c>
      <c r="P1535" s="1">
        <v>2640</v>
      </c>
      <c r="Q1535" s="1">
        <v>2103</v>
      </c>
      <c r="R1535" s="1">
        <v>1738</v>
      </c>
      <c r="S1535" s="1">
        <v>1938</v>
      </c>
      <c r="T1535" s="1">
        <v>1848</v>
      </c>
      <c r="U1535" s="1">
        <v>2157</v>
      </c>
      <c r="V1535" s="1">
        <v>2078</v>
      </c>
    </row>
    <row r="1536" spans="1:22" x14ac:dyDescent="0.2">
      <c r="A1536" s="1" t="s">
        <v>1146</v>
      </c>
      <c r="B1536" s="1" t="s">
        <v>1542</v>
      </c>
      <c r="C1536" s="1">
        <v>0</v>
      </c>
      <c r="D1536" s="1">
        <v>0</v>
      </c>
      <c r="E1536" s="1">
        <v>0</v>
      </c>
      <c r="F1536" s="1">
        <v>0</v>
      </c>
      <c r="G1536" s="1">
        <v>0</v>
      </c>
      <c r="H1536" s="1">
        <v>0</v>
      </c>
      <c r="I1536" s="1">
        <v>0</v>
      </c>
      <c r="J1536" s="1">
        <v>5</v>
      </c>
      <c r="K1536" s="1">
        <v>4</v>
      </c>
      <c r="L1536" s="1">
        <v>10</v>
      </c>
      <c r="M1536" s="1">
        <v>22</v>
      </c>
      <c r="N1536" s="1">
        <v>18</v>
      </c>
      <c r="O1536" s="1">
        <v>12</v>
      </c>
      <c r="P1536" s="1">
        <v>17</v>
      </c>
      <c r="Q1536" s="1">
        <v>18</v>
      </c>
      <c r="R1536" s="1">
        <v>36</v>
      </c>
      <c r="S1536" s="1">
        <v>27</v>
      </c>
      <c r="T1536" s="1">
        <v>22</v>
      </c>
      <c r="U1536" s="1">
        <v>9</v>
      </c>
      <c r="V1536" s="1">
        <v>11</v>
      </c>
    </row>
    <row r="1537" spans="1:22" x14ac:dyDescent="0.2">
      <c r="A1537" s="1" t="s">
        <v>1146</v>
      </c>
      <c r="B1537" s="1" t="s">
        <v>1543</v>
      </c>
      <c r="C1537" s="1">
        <v>0</v>
      </c>
      <c r="D1537" s="1">
        <v>0</v>
      </c>
      <c r="E1537" s="1">
        <v>0</v>
      </c>
      <c r="F1537" s="1">
        <v>0</v>
      </c>
      <c r="G1537" s="1">
        <v>0</v>
      </c>
      <c r="H1537" s="1">
        <v>0</v>
      </c>
      <c r="I1537" s="1">
        <v>0</v>
      </c>
      <c r="J1537" s="1">
        <v>27</v>
      </c>
      <c r="K1537" s="1">
        <v>99</v>
      </c>
      <c r="L1537" s="1">
        <v>298</v>
      </c>
      <c r="M1537" s="1">
        <v>231</v>
      </c>
      <c r="N1537" s="1">
        <v>207</v>
      </c>
      <c r="O1537" s="1">
        <v>146</v>
      </c>
      <c r="P1537" s="1">
        <v>173</v>
      </c>
      <c r="Q1537" s="1">
        <v>115</v>
      </c>
      <c r="R1537" s="1">
        <v>106</v>
      </c>
      <c r="S1537" s="1">
        <v>131</v>
      </c>
      <c r="T1537" s="1">
        <v>173</v>
      </c>
      <c r="U1537" s="1">
        <v>169</v>
      </c>
      <c r="V1537" s="1">
        <v>225</v>
      </c>
    </row>
    <row r="1538" spans="1:22" x14ac:dyDescent="0.2">
      <c r="A1538" s="1" t="s">
        <v>1146</v>
      </c>
      <c r="B1538" s="1" t="s">
        <v>1544</v>
      </c>
      <c r="C1538" s="1">
        <v>0</v>
      </c>
      <c r="D1538" s="1">
        <v>0</v>
      </c>
      <c r="E1538" s="1">
        <v>0</v>
      </c>
      <c r="F1538" s="1">
        <v>0</v>
      </c>
      <c r="G1538" s="1">
        <v>0</v>
      </c>
      <c r="H1538" s="1">
        <v>0</v>
      </c>
      <c r="I1538" s="1">
        <v>0</v>
      </c>
      <c r="J1538" s="1">
        <v>0</v>
      </c>
      <c r="K1538" s="1">
        <v>1</v>
      </c>
      <c r="L1538" s="1">
        <v>1</v>
      </c>
      <c r="M1538" s="1">
        <v>2</v>
      </c>
      <c r="N1538" s="1">
        <v>2</v>
      </c>
      <c r="O1538" s="1">
        <v>2</v>
      </c>
      <c r="P1538" s="1">
        <v>1</v>
      </c>
      <c r="Q1538" s="1">
        <v>1</v>
      </c>
      <c r="R1538" s="1">
        <v>2</v>
      </c>
      <c r="S1538" s="1">
        <v>4</v>
      </c>
      <c r="T1538" s="1">
        <v>0</v>
      </c>
      <c r="U1538" s="1">
        <v>0</v>
      </c>
      <c r="V1538" s="1">
        <v>2</v>
      </c>
    </row>
    <row r="1539" spans="1:22" x14ac:dyDescent="0.2">
      <c r="A1539" s="1" t="s">
        <v>1146</v>
      </c>
      <c r="B1539" s="1" t="s">
        <v>1545</v>
      </c>
      <c r="C1539" s="1">
        <v>0</v>
      </c>
      <c r="D1539" s="1">
        <v>0</v>
      </c>
      <c r="E1539" s="1">
        <v>0</v>
      </c>
      <c r="F1539" s="1">
        <v>0</v>
      </c>
      <c r="G1539" s="1">
        <v>0</v>
      </c>
      <c r="H1539" s="1">
        <v>0</v>
      </c>
      <c r="I1539" s="1">
        <v>0</v>
      </c>
      <c r="J1539" s="1">
        <v>0</v>
      </c>
      <c r="K1539" s="1">
        <v>4</v>
      </c>
      <c r="L1539" s="1">
        <v>1</v>
      </c>
      <c r="M1539" s="1">
        <v>1</v>
      </c>
      <c r="N1539" s="1">
        <v>4</v>
      </c>
      <c r="O1539" s="1">
        <v>2</v>
      </c>
      <c r="P1539" s="1">
        <v>1</v>
      </c>
      <c r="Q1539" s="1">
        <v>0</v>
      </c>
      <c r="R1539" s="1">
        <v>1</v>
      </c>
      <c r="S1539" s="1">
        <v>2</v>
      </c>
      <c r="T1539" s="1">
        <v>1</v>
      </c>
      <c r="U1539" s="1">
        <v>0</v>
      </c>
      <c r="V1539" s="1">
        <v>0</v>
      </c>
    </row>
    <row r="1540" spans="1:22" x14ac:dyDescent="0.2">
      <c r="A1540" s="1" t="s">
        <v>1146</v>
      </c>
      <c r="B1540" s="1" t="s">
        <v>1546</v>
      </c>
      <c r="C1540" s="1">
        <v>0</v>
      </c>
      <c r="D1540" s="1">
        <v>0</v>
      </c>
      <c r="E1540" s="1">
        <v>0</v>
      </c>
      <c r="F1540" s="1">
        <v>0</v>
      </c>
      <c r="G1540" s="1">
        <v>0</v>
      </c>
      <c r="H1540" s="1">
        <v>0</v>
      </c>
      <c r="I1540" s="1">
        <v>0</v>
      </c>
      <c r="J1540" s="1">
        <v>2</v>
      </c>
      <c r="K1540" s="1">
        <v>4</v>
      </c>
      <c r="L1540" s="1">
        <v>7</v>
      </c>
      <c r="M1540" s="1">
        <v>18</v>
      </c>
      <c r="N1540" s="1">
        <v>11</v>
      </c>
      <c r="O1540" s="1">
        <v>9</v>
      </c>
      <c r="P1540" s="1">
        <v>9</v>
      </c>
      <c r="Q1540" s="1">
        <v>16</v>
      </c>
      <c r="R1540" s="1">
        <v>11</v>
      </c>
      <c r="S1540" s="1">
        <v>6</v>
      </c>
      <c r="T1540" s="1">
        <v>4</v>
      </c>
      <c r="U1540" s="1">
        <v>6</v>
      </c>
      <c r="V1540" s="1">
        <v>3</v>
      </c>
    </row>
    <row r="1541" spans="1:22" x14ac:dyDescent="0.2">
      <c r="A1541" s="1" t="s">
        <v>1146</v>
      </c>
      <c r="B1541" s="1" t="s">
        <v>1547</v>
      </c>
      <c r="C1541" s="1">
        <v>0</v>
      </c>
      <c r="D1541" s="1">
        <v>0</v>
      </c>
      <c r="E1541" s="1">
        <v>0</v>
      </c>
      <c r="F1541" s="1">
        <v>0</v>
      </c>
      <c r="G1541" s="1">
        <v>0</v>
      </c>
      <c r="H1541" s="1">
        <v>0</v>
      </c>
      <c r="I1541" s="1">
        <v>0</v>
      </c>
      <c r="J1541" s="1">
        <v>6</v>
      </c>
      <c r="K1541" s="1">
        <v>18</v>
      </c>
      <c r="L1541" s="1">
        <v>15</v>
      </c>
      <c r="M1541" s="1">
        <v>10</v>
      </c>
      <c r="N1541" s="1">
        <v>12</v>
      </c>
      <c r="O1541" s="1">
        <v>5</v>
      </c>
      <c r="P1541" s="1">
        <v>7</v>
      </c>
      <c r="Q1541" s="1">
        <v>6</v>
      </c>
      <c r="R1541" s="1">
        <v>9</v>
      </c>
      <c r="S1541" s="1">
        <v>11</v>
      </c>
      <c r="T1541" s="1">
        <v>14</v>
      </c>
      <c r="U1541" s="1">
        <v>18</v>
      </c>
      <c r="V1541" s="1">
        <v>9</v>
      </c>
    </row>
    <row r="1542" spans="1:22" x14ac:dyDescent="0.2">
      <c r="A1542" s="1" t="s">
        <v>1146</v>
      </c>
      <c r="B1542" s="1" t="s">
        <v>1548</v>
      </c>
      <c r="C1542" s="1">
        <v>0</v>
      </c>
      <c r="D1542" s="1">
        <v>0</v>
      </c>
      <c r="E1542" s="1">
        <v>0</v>
      </c>
      <c r="F1542" s="1">
        <v>0</v>
      </c>
      <c r="G1542" s="1">
        <v>0</v>
      </c>
      <c r="H1542" s="1">
        <v>0</v>
      </c>
      <c r="I1542" s="1">
        <v>0</v>
      </c>
      <c r="J1542" s="1">
        <v>0</v>
      </c>
      <c r="K1542" s="1">
        <v>0</v>
      </c>
      <c r="L1542" s="1">
        <v>0</v>
      </c>
      <c r="M1542" s="1">
        <v>14</v>
      </c>
      <c r="N1542" s="1">
        <v>47</v>
      </c>
      <c r="O1542" s="1">
        <v>95</v>
      </c>
      <c r="P1542" s="1">
        <v>64</v>
      </c>
      <c r="Q1542" s="1">
        <v>47</v>
      </c>
      <c r="R1542" s="1">
        <v>85</v>
      </c>
      <c r="S1542" s="1">
        <v>83</v>
      </c>
      <c r="T1542" s="1">
        <v>115</v>
      </c>
      <c r="U1542" s="1">
        <v>150</v>
      </c>
      <c r="V1542" s="1">
        <v>152</v>
      </c>
    </row>
    <row r="1543" spans="1:22" x14ac:dyDescent="0.2">
      <c r="A1543" s="1" t="s">
        <v>1146</v>
      </c>
      <c r="B1543" s="1" t="s">
        <v>1549</v>
      </c>
      <c r="C1543" s="1">
        <v>0</v>
      </c>
      <c r="D1543" s="1">
        <v>0</v>
      </c>
      <c r="E1543" s="1">
        <v>0</v>
      </c>
      <c r="F1543" s="1">
        <v>0</v>
      </c>
      <c r="G1543" s="1">
        <v>0</v>
      </c>
      <c r="H1543" s="1">
        <v>0</v>
      </c>
      <c r="I1543" s="1">
        <v>0</v>
      </c>
      <c r="J1543" s="1">
        <v>0</v>
      </c>
      <c r="K1543" s="1">
        <v>1</v>
      </c>
      <c r="L1543" s="1">
        <v>1</v>
      </c>
      <c r="M1543" s="1">
        <v>3</v>
      </c>
      <c r="N1543" s="1">
        <v>2</v>
      </c>
      <c r="O1543" s="1">
        <v>5</v>
      </c>
      <c r="P1543" s="1">
        <v>2</v>
      </c>
      <c r="Q1543" s="1">
        <v>0</v>
      </c>
      <c r="R1543" s="1">
        <v>1</v>
      </c>
      <c r="S1543" s="1">
        <v>1</v>
      </c>
      <c r="T1543" s="1">
        <v>0</v>
      </c>
      <c r="U1543" s="1">
        <v>0</v>
      </c>
      <c r="V1543" s="1">
        <v>1</v>
      </c>
    </row>
    <row r="1544" spans="1:22" x14ac:dyDescent="0.2">
      <c r="A1544" s="1" t="s">
        <v>1146</v>
      </c>
      <c r="B1544" s="1" t="s">
        <v>1550</v>
      </c>
      <c r="C1544" s="1">
        <v>0</v>
      </c>
      <c r="D1544" s="1">
        <v>0</v>
      </c>
      <c r="E1544" s="1">
        <v>0</v>
      </c>
      <c r="F1544" s="1">
        <v>0</v>
      </c>
      <c r="G1544" s="1">
        <v>0</v>
      </c>
      <c r="H1544" s="1">
        <v>0</v>
      </c>
      <c r="I1544" s="1">
        <v>0</v>
      </c>
      <c r="J1544" s="1">
        <v>9</v>
      </c>
      <c r="K1544" s="1">
        <v>7</v>
      </c>
      <c r="L1544" s="1">
        <v>5</v>
      </c>
      <c r="M1544" s="1">
        <v>15</v>
      </c>
      <c r="N1544" s="1">
        <v>9</v>
      </c>
      <c r="O1544" s="1">
        <v>19</v>
      </c>
      <c r="P1544" s="1">
        <v>15</v>
      </c>
      <c r="Q1544" s="1">
        <v>13</v>
      </c>
      <c r="R1544" s="1">
        <v>18</v>
      </c>
      <c r="S1544" s="1">
        <v>13</v>
      </c>
      <c r="T1544" s="1">
        <v>29</v>
      </c>
      <c r="U1544" s="1">
        <v>21</v>
      </c>
      <c r="V1544" s="1">
        <v>25</v>
      </c>
    </row>
    <row r="1545" spans="1:22" x14ac:dyDescent="0.2">
      <c r="A1545" s="1" t="s">
        <v>1146</v>
      </c>
      <c r="B1545" s="1" t="s">
        <v>1551</v>
      </c>
      <c r="C1545" s="1">
        <v>0</v>
      </c>
      <c r="D1545" s="1">
        <v>0</v>
      </c>
      <c r="E1545" s="1">
        <v>0</v>
      </c>
      <c r="F1545" s="1">
        <v>0</v>
      </c>
      <c r="G1545" s="1">
        <v>0</v>
      </c>
      <c r="H1545" s="1">
        <v>0</v>
      </c>
      <c r="I1545" s="1">
        <v>0</v>
      </c>
      <c r="J1545" s="1">
        <v>0</v>
      </c>
      <c r="K1545" s="1">
        <v>43</v>
      </c>
      <c r="L1545" s="1">
        <v>83</v>
      </c>
      <c r="M1545" s="1">
        <v>17</v>
      </c>
      <c r="N1545" s="1">
        <v>100</v>
      </c>
      <c r="O1545" s="1">
        <v>144</v>
      </c>
      <c r="P1545" s="1">
        <v>8</v>
      </c>
      <c r="Q1545" s="1">
        <v>123</v>
      </c>
      <c r="R1545" s="1">
        <v>9</v>
      </c>
      <c r="S1545" s="1">
        <v>11</v>
      </c>
      <c r="T1545" s="1">
        <v>9</v>
      </c>
      <c r="U1545" s="1">
        <v>99</v>
      </c>
      <c r="V1545" s="1">
        <v>1</v>
      </c>
    </row>
    <row r="1546" spans="1:22" x14ac:dyDescent="0.2">
      <c r="A1546" s="1" t="s">
        <v>1146</v>
      </c>
      <c r="B1546" s="1" t="s">
        <v>1552</v>
      </c>
      <c r="C1546" s="1">
        <v>0</v>
      </c>
      <c r="D1546" s="1">
        <v>0</v>
      </c>
      <c r="E1546" s="1">
        <v>0</v>
      </c>
      <c r="F1546" s="1">
        <v>0</v>
      </c>
      <c r="G1546" s="1">
        <v>0</v>
      </c>
      <c r="H1546" s="1">
        <v>0</v>
      </c>
      <c r="I1546" s="1">
        <v>0</v>
      </c>
      <c r="J1546" s="1">
        <v>541</v>
      </c>
      <c r="K1546" s="1">
        <v>2627</v>
      </c>
      <c r="L1546" s="1">
        <v>3805</v>
      </c>
      <c r="M1546" s="1">
        <v>4149</v>
      </c>
      <c r="N1546" s="1">
        <v>5268</v>
      </c>
      <c r="O1546" s="1">
        <v>6603</v>
      </c>
      <c r="P1546" s="1">
        <v>6768</v>
      </c>
      <c r="Q1546" s="1">
        <v>5995</v>
      </c>
      <c r="R1546" s="1">
        <v>6421</v>
      </c>
      <c r="S1546" s="1">
        <v>6521</v>
      </c>
      <c r="T1546" s="1">
        <v>6390</v>
      </c>
      <c r="U1546" s="1">
        <v>5615</v>
      </c>
      <c r="V1546" s="1">
        <v>6176</v>
      </c>
    </row>
    <row r="1547" spans="1:22" x14ac:dyDescent="0.2">
      <c r="A1547" s="1" t="s">
        <v>1146</v>
      </c>
      <c r="B1547" s="1" t="s">
        <v>1553</v>
      </c>
      <c r="C1547" s="1">
        <v>0</v>
      </c>
      <c r="D1547" s="1">
        <v>0</v>
      </c>
      <c r="E1547" s="1">
        <v>0</v>
      </c>
      <c r="F1547" s="1">
        <v>0</v>
      </c>
      <c r="G1547" s="1">
        <v>0</v>
      </c>
      <c r="H1547" s="1">
        <v>0</v>
      </c>
      <c r="I1547" s="1">
        <v>0</v>
      </c>
      <c r="J1547" s="1">
        <v>0</v>
      </c>
      <c r="K1547" s="1">
        <v>12</v>
      </c>
      <c r="L1547" s="1">
        <v>10</v>
      </c>
      <c r="M1547" s="1">
        <v>6</v>
      </c>
      <c r="N1547" s="1">
        <v>13</v>
      </c>
      <c r="O1547" s="1">
        <v>11</v>
      </c>
      <c r="P1547" s="1">
        <v>3</v>
      </c>
      <c r="Q1547" s="1">
        <v>9</v>
      </c>
      <c r="R1547" s="1">
        <v>8</v>
      </c>
      <c r="S1547" s="1">
        <v>4</v>
      </c>
      <c r="T1547" s="1">
        <v>6</v>
      </c>
      <c r="U1547" s="1">
        <v>9</v>
      </c>
      <c r="V1547" s="1">
        <v>6</v>
      </c>
    </row>
    <row r="1548" spans="1:22" x14ac:dyDescent="0.2">
      <c r="A1548" s="1" t="s">
        <v>1146</v>
      </c>
      <c r="B1548" s="1" t="s">
        <v>1554</v>
      </c>
      <c r="C1548" s="1">
        <v>0</v>
      </c>
      <c r="D1548" s="1">
        <v>0</v>
      </c>
      <c r="E1548" s="1">
        <v>0</v>
      </c>
      <c r="F1548" s="1">
        <v>0</v>
      </c>
      <c r="G1548" s="1">
        <v>0</v>
      </c>
      <c r="H1548" s="1">
        <v>0</v>
      </c>
      <c r="I1548" s="1">
        <v>0</v>
      </c>
      <c r="J1548" s="1">
        <v>2094</v>
      </c>
      <c r="K1548" s="1">
        <v>4835</v>
      </c>
      <c r="L1548" s="1">
        <v>539</v>
      </c>
      <c r="M1548" s="1">
        <v>394</v>
      </c>
      <c r="N1548" s="1">
        <v>3707</v>
      </c>
      <c r="O1548" s="1">
        <v>5685</v>
      </c>
      <c r="P1548" s="1">
        <v>6081</v>
      </c>
      <c r="Q1548" s="1">
        <v>6875</v>
      </c>
      <c r="R1548" s="1">
        <v>6762</v>
      </c>
      <c r="S1548" s="1">
        <v>7010</v>
      </c>
      <c r="T1548" s="1">
        <v>7334</v>
      </c>
      <c r="U1548" s="1">
        <v>8405</v>
      </c>
      <c r="V1548" s="1">
        <v>8018</v>
      </c>
    </row>
    <row r="1549" spans="1:22" x14ac:dyDescent="0.2">
      <c r="A1549" s="1" t="s">
        <v>1146</v>
      </c>
      <c r="B1549" s="1" t="s">
        <v>1555</v>
      </c>
      <c r="C1549" s="1">
        <v>0</v>
      </c>
      <c r="D1549" s="1">
        <v>0</v>
      </c>
      <c r="E1549" s="1">
        <v>0</v>
      </c>
      <c r="F1549" s="1">
        <v>0</v>
      </c>
      <c r="G1549" s="1">
        <v>0</v>
      </c>
      <c r="H1549" s="1">
        <v>0</v>
      </c>
      <c r="I1549" s="1">
        <v>0</v>
      </c>
      <c r="J1549" s="1">
        <v>0</v>
      </c>
      <c r="K1549" s="1">
        <v>4</v>
      </c>
      <c r="L1549" s="1">
        <v>4</v>
      </c>
      <c r="M1549" s="1">
        <v>6</v>
      </c>
      <c r="N1549" s="1">
        <v>5</v>
      </c>
      <c r="O1549" s="1">
        <v>3</v>
      </c>
      <c r="P1549" s="1">
        <v>3</v>
      </c>
      <c r="Q1549" s="1">
        <v>0</v>
      </c>
      <c r="R1549" s="1">
        <v>1</v>
      </c>
      <c r="S1549" s="1">
        <v>0</v>
      </c>
      <c r="T1549" s="1">
        <v>0</v>
      </c>
      <c r="U1549" s="1">
        <v>1</v>
      </c>
      <c r="V1549" s="1">
        <v>1</v>
      </c>
    </row>
    <row r="1550" spans="1:22" x14ac:dyDescent="0.2">
      <c r="A1550" s="1" t="s">
        <v>1146</v>
      </c>
      <c r="B1550" s="1" t="s">
        <v>1556</v>
      </c>
      <c r="C1550" s="1">
        <v>0</v>
      </c>
      <c r="D1550" s="1">
        <v>0</v>
      </c>
      <c r="E1550" s="1">
        <v>0</v>
      </c>
      <c r="F1550" s="1">
        <v>0</v>
      </c>
      <c r="G1550" s="1">
        <v>0</v>
      </c>
      <c r="H1550" s="1">
        <v>0</v>
      </c>
      <c r="I1550" s="1">
        <v>0</v>
      </c>
      <c r="J1550" s="1">
        <v>0</v>
      </c>
      <c r="K1550" s="1">
        <v>0</v>
      </c>
      <c r="L1550" s="1">
        <v>0</v>
      </c>
      <c r="M1550" s="1">
        <v>0</v>
      </c>
      <c r="N1550" s="1">
        <v>0</v>
      </c>
      <c r="O1550" s="1">
        <v>2812</v>
      </c>
      <c r="P1550" s="1">
        <v>4038</v>
      </c>
      <c r="Q1550" s="1">
        <v>3708</v>
      </c>
      <c r="R1550" s="1">
        <v>3201</v>
      </c>
      <c r="S1550" s="1">
        <v>2962</v>
      </c>
      <c r="T1550" s="1">
        <v>2440</v>
      </c>
      <c r="U1550" s="1">
        <v>3026</v>
      </c>
      <c r="V1550" s="1">
        <v>3912</v>
      </c>
    </row>
    <row r="1551" spans="1:22" x14ac:dyDescent="0.2">
      <c r="A1551" s="1" t="s">
        <v>1146</v>
      </c>
      <c r="B1551" s="1" t="s">
        <v>1557</v>
      </c>
      <c r="C1551" s="1">
        <v>0</v>
      </c>
      <c r="D1551" s="1">
        <v>0</v>
      </c>
      <c r="E1551" s="1">
        <v>0</v>
      </c>
      <c r="F1551" s="1">
        <v>0</v>
      </c>
      <c r="G1551" s="1">
        <v>0</v>
      </c>
      <c r="H1551" s="1">
        <v>0</v>
      </c>
      <c r="I1551" s="1">
        <v>0</v>
      </c>
      <c r="J1551" s="1">
        <v>9</v>
      </c>
      <c r="K1551" s="1">
        <v>45</v>
      </c>
      <c r="L1551" s="1">
        <v>87</v>
      </c>
      <c r="M1551" s="1">
        <v>41</v>
      </c>
      <c r="N1551" s="1">
        <v>32</v>
      </c>
      <c r="O1551" s="1">
        <v>45</v>
      </c>
      <c r="P1551" s="1">
        <v>38</v>
      </c>
      <c r="Q1551" s="1">
        <v>28</v>
      </c>
      <c r="R1551" s="1">
        <v>32</v>
      </c>
      <c r="S1551" s="1">
        <v>29</v>
      </c>
      <c r="T1551" s="1">
        <v>23</v>
      </c>
      <c r="U1551" s="1">
        <v>31</v>
      </c>
      <c r="V1551" s="1">
        <v>50</v>
      </c>
    </row>
    <row r="1552" spans="1:22" x14ac:dyDescent="0.2">
      <c r="A1552" s="1" t="s">
        <v>1146</v>
      </c>
      <c r="B1552" s="1" t="s">
        <v>1558</v>
      </c>
      <c r="C1552" s="1">
        <v>0</v>
      </c>
      <c r="D1552" s="1">
        <v>0</v>
      </c>
      <c r="E1552" s="1">
        <v>0</v>
      </c>
      <c r="F1552" s="1">
        <v>0</v>
      </c>
      <c r="G1552" s="1">
        <v>0</v>
      </c>
      <c r="H1552" s="1">
        <v>0</v>
      </c>
      <c r="I1552" s="1">
        <v>0</v>
      </c>
      <c r="J1552" s="1">
        <v>2</v>
      </c>
      <c r="K1552" s="1">
        <v>16</v>
      </c>
      <c r="L1552" s="1">
        <v>43</v>
      </c>
      <c r="M1552" s="1">
        <v>40</v>
      </c>
      <c r="N1552" s="1">
        <v>18</v>
      </c>
      <c r="O1552" s="1">
        <v>205</v>
      </c>
      <c r="P1552" s="1">
        <v>16</v>
      </c>
      <c r="Q1552" s="1">
        <v>12</v>
      </c>
      <c r="R1552" s="1">
        <v>5</v>
      </c>
      <c r="S1552" s="1">
        <v>15</v>
      </c>
      <c r="T1552" s="1">
        <v>8</v>
      </c>
      <c r="U1552" s="1">
        <v>22</v>
      </c>
      <c r="V1552" s="1">
        <v>21</v>
      </c>
    </row>
    <row r="1553" spans="1:22" x14ac:dyDescent="0.2">
      <c r="A1553" s="1" t="s">
        <v>1146</v>
      </c>
      <c r="B1553" s="1" t="s">
        <v>1559</v>
      </c>
      <c r="C1553" s="1">
        <v>0</v>
      </c>
      <c r="D1553" s="1">
        <v>0</v>
      </c>
      <c r="E1553" s="1">
        <v>0</v>
      </c>
      <c r="F1553" s="1">
        <v>0</v>
      </c>
      <c r="G1553" s="1">
        <v>0</v>
      </c>
      <c r="H1553" s="1">
        <v>0</v>
      </c>
      <c r="I1553" s="1">
        <v>0</v>
      </c>
      <c r="J1553" s="1">
        <v>12</v>
      </c>
      <c r="K1553" s="1">
        <v>71</v>
      </c>
      <c r="L1553" s="1">
        <v>81</v>
      </c>
      <c r="M1553" s="1">
        <v>87</v>
      </c>
      <c r="N1553" s="1">
        <v>98</v>
      </c>
      <c r="O1553" s="1">
        <v>99</v>
      </c>
      <c r="P1553" s="1">
        <v>102</v>
      </c>
      <c r="Q1553" s="1">
        <v>76</v>
      </c>
      <c r="R1553" s="1">
        <v>91</v>
      </c>
      <c r="S1553" s="1">
        <v>82</v>
      </c>
      <c r="T1553" s="1">
        <v>129</v>
      </c>
      <c r="U1553" s="1">
        <v>141</v>
      </c>
      <c r="V1553" s="1">
        <v>198</v>
      </c>
    </row>
    <row r="1554" spans="1:22" x14ac:dyDescent="0.2">
      <c r="A1554" s="1" t="s">
        <v>1146</v>
      </c>
      <c r="B1554" s="1" t="s">
        <v>1560</v>
      </c>
      <c r="C1554" s="1">
        <v>0</v>
      </c>
      <c r="D1554" s="1">
        <v>0</v>
      </c>
      <c r="E1554" s="1">
        <v>0</v>
      </c>
      <c r="F1554" s="1">
        <v>0</v>
      </c>
      <c r="G1554" s="1">
        <v>0</v>
      </c>
      <c r="H1554" s="1">
        <v>0</v>
      </c>
      <c r="I1554" s="1">
        <v>0</v>
      </c>
      <c r="J1554" s="1">
        <v>18</v>
      </c>
      <c r="K1554" s="1">
        <v>63</v>
      </c>
      <c r="L1554" s="1">
        <v>132</v>
      </c>
      <c r="M1554" s="1">
        <v>132</v>
      </c>
      <c r="N1554" s="1">
        <v>80</v>
      </c>
      <c r="O1554" s="1">
        <v>123</v>
      </c>
      <c r="P1554" s="1">
        <v>84</v>
      </c>
      <c r="Q1554" s="1">
        <v>75</v>
      </c>
      <c r="R1554" s="1">
        <v>79</v>
      </c>
      <c r="S1554" s="1">
        <v>113</v>
      </c>
      <c r="T1554" s="1">
        <v>125</v>
      </c>
      <c r="U1554" s="1">
        <v>181</v>
      </c>
      <c r="V1554" s="1">
        <v>167</v>
      </c>
    </row>
    <row r="1555" spans="1:22" x14ac:dyDescent="0.2">
      <c r="A1555" s="1" t="s">
        <v>1146</v>
      </c>
      <c r="B1555" s="1" t="s">
        <v>1561</v>
      </c>
      <c r="C1555" s="1">
        <v>0</v>
      </c>
      <c r="D1555" s="1">
        <v>0</v>
      </c>
      <c r="E1555" s="1">
        <v>0</v>
      </c>
      <c r="F1555" s="1">
        <v>0</v>
      </c>
      <c r="G1555" s="1">
        <v>0</v>
      </c>
      <c r="H1555" s="1">
        <v>0</v>
      </c>
      <c r="I1555" s="1">
        <v>0</v>
      </c>
      <c r="J1555" s="1">
        <v>1794</v>
      </c>
      <c r="K1555" s="1">
        <v>5630</v>
      </c>
      <c r="L1555" s="1">
        <v>1378</v>
      </c>
      <c r="M1555" s="1">
        <v>770</v>
      </c>
      <c r="N1555" s="1">
        <v>1031</v>
      </c>
      <c r="O1555" s="1">
        <v>958</v>
      </c>
      <c r="P1555" s="1">
        <v>223</v>
      </c>
      <c r="Q1555" s="1">
        <v>64</v>
      </c>
      <c r="R1555" s="1">
        <v>77</v>
      </c>
      <c r="S1555" s="1">
        <v>8</v>
      </c>
      <c r="T1555" s="1">
        <v>0</v>
      </c>
      <c r="U1555" s="1">
        <v>0</v>
      </c>
      <c r="V1555" s="1">
        <v>0</v>
      </c>
    </row>
    <row r="1556" spans="1:22" x14ac:dyDescent="0.2">
      <c r="A1556" s="1" t="s">
        <v>1146</v>
      </c>
      <c r="B1556" s="1" t="s">
        <v>1562</v>
      </c>
      <c r="C1556" s="1">
        <v>0</v>
      </c>
      <c r="D1556" s="1">
        <v>0</v>
      </c>
      <c r="E1556" s="1">
        <v>0</v>
      </c>
      <c r="F1556" s="1">
        <v>0</v>
      </c>
      <c r="G1556" s="1">
        <v>0</v>
      </c>
      <c r="H1556" s="1">
        <v>0</v>
      </c>
      <c r="I1556" s="1">
        <v>0</v>
      </c>
      <c r="J1556" s="1">
        <v>383</v>
      </c>
      <c r="K1556" s="1">
        <v>318</v>
      </c>
      <c r="L1556" s="1">
        <v>97</v>
      </c>
      <c r="M1556" s="1">
        <v>149</v>
      </c>
      <c r="N1556" s="1">
        <v>715</v>
      </c>
      <c r="O1556" s="1">
        <v>20</v>
      </c>
      <c r="P1556" s="1">
        <v>56</v>
      </c>
      <c r="Q1556" s="1">
        <v>0</v>
      </c>
      <c r="R1556" s="1">
        <v>0</v>
      </c>
      <c r="S1556" s="1">
        <v>0</v>
      </c>
      <c r="T1556" s="1">
        <v>5</v>
      </c>
      <c r="U1556" s="1">
        <v>17</v>
      </c>
      <c r="V1556" s="1">
        <v>66</v>
      </c>
    </row>
    <row r="1557" spans="1:22" x14ac:dyDescent="0.2">
      <c r="A1557" s="1" t="s">
        <v>1146</v>
      </c>
      <c r="B1557" s="1" t="s">
        <v>1563</v>
      </c>
      <c r="C1557" s="1">
        <f>SUM(C1558:C1608)</f>
        <v>561</v>
      </c>
      <c r="D1557" s="1">
        <f t="shared" ref="D1557:V1557" si="263">SUM(D1558:D1608)</f>
        <v>797</v>
      </c>
      <c r="E1557" s="1">
        <f t="shared" si="263"/>
        <v>820</v>
      </c>
      <c r="F1557" s="1">
        <f t="shared" si="263"/>
        <v>719</v>
      </c>
      <c r="G1557" s="1">
        <f t="shared" si="263"/>
        <v>954</v>
      </c>
      <c r="H1557" s="1">
        <f t="shared" si="263"/>
        <v>884</v>
      </c>
      <c r="I1557" s="1">
        <f t="shared" si="263"/>
        <v>1250</v>
      </c>
      <c r="J1557" s="1">
        <f t="shared" si="263"/>
        <v>1754</v>
      </c>
      <c r="K1557" s="1">
        <f t="shared" si="263"/>
        <v>1982</v>
      </c>
      <c r="L1557" s="1">
        <f t="shared" si="263"/>
        <v>2863</v>
      </c>
      <c r="M1557" s="1">
        <f t="shared" si="263"/>
        <v>1743</v>
      </c>
      <c r="N1557" s="1">
        <f t="shared" si="263"/>
        <v>1892</v>
      </c>
      <c r="O1557" s="1">
        <f t="shared" si="263"/>
        <v>1921</v>
      </c>
      <c r="P1557" s="1">
        <f t="shared" si="263"/>
        <v>1977</v>
      </c>
      <c r="Q1557" s="1">
        <f t="shared" si="263"/>
        <v>1406</v>
      </c>
      <c r="R1557" s="1">
        <f t="shared" si="263"/>
        <v>1018</v>
      </c>
      <c r="S1557" s="1">
        <f t="shared" si="263"/>
        <v>747</v>
      </c>
      <c r="T1557" s="1">
        <f t="shared" si="263"/>
        <v>741</v>
      </c>
      <c r="U1557" s="1">
        <f t="shared" si="263"/>
        <v>1301</v>
      </c>
      <c r="V1557" s="1">
        <f t="shared" si="263"/>
        <v>1330</v>
      </c>
    </row>
    <row r="1558" spans="1:22" x14ac:dyDescent="0.2">
      <c r="A1558" s="1" t="s">
        <v>1146</v>
      </c>
      <c r="B1558" s="1" t="s">
        <v>1564</v>
      </c>
      <c r="C1558" s="1">
        <v>7</v>
      </c>
      <c r="D1558" s="1">
        <v>5</v>
      </c>
      <c r="E1558" s="1">
        <v>105</v>
      </c>
      <c r="F1558" s="1">
        <v>2</v>
      </c>
      <c r="G1558" s="1">
        <v>14</v>
      </c>
      <c r="H1558" s="1">
        <v>9</v>
      </c>
      <c r="I1558" s="1">
        <v>4</v>
      </c>
      <c r="J1558" s="1">
        <v>10</v>
      </c>
      <c r="K1558" s="1">
        <v>69</v>
      </c>
      <c r="L1558" s="1">
        <v>11</v>
      </c>
      <c r="M1558" s="1">
        <v>12</v>
      </c>
      <c r="N1558" s="1">
        <v>23</v>
      </c>
      <c r="O1558" s="1">
        <v>6</v>
      </c>
      <c r="P1558" s="1">
        <v>4</v>
      </c>
      <c r="Q1558" s="1">
        <v>9</v>
      </c>
      <c r="R1558" s="1">
        <v>4</v>
      </c>
      <c r="S1558" s="1">
        <v>10</v>
      </c>
      <c r="T1558" s="1">
        <v>2</v>
      </c>
      <c r="U1558" s="1">
        <v>8</v>
      </c>
      <c r="V1558" s="1">
        <v>6</v>
      </c>
    </row>
    <row r="1559" spans="1:22" x14ac:dyDescent="0.2">
      <c r="A1559" s="1" t="s">
        <v>1146</v>
      </c>
      <c r="B1559" s="1" t="s">
        <v>1565</v>
      </c>
      <c r="C1559" s="1">
        <v>1</v>
      </c>
      <c r="D1559" s="1">
        <v>7</v>
      </c>
      <c r="E1559" s="1">
        <v>9</v>
      </c>
      <c r="F1559" s="1">
        <v>2</v>
      </c>
      <c r="G1559" s="1">
        <v>7</v>
      </c>
      <c r="H1559" s="1">
        <v>0</v>
      </c>
      <c r="I1559" s="1">
        <v>0</v>
      </c>
      <c r="J1559" s="1">
        <v>2</v>
      </c>
      <c r="K1559" s="1">
        <v>2</v>
      </c>
      <c r="L1559" s="1">
        <v>22</v>
      </c>
      <c r="M1559" s="1">
        <v>1</v>
      </c>
      <c r="N1559" s="1">
        <v>6</v>
      </c>
      <c r="O1559" s="1">
        <v>2</v>
      </c>
      <c r="P1559" s="1">
        <v>2</v>
      </c>
      <c r="Q1559" s="1">
        <v>16</v>
      </c>
      <c r="R1559" s="1">
        <v>4</v>
      </c>
      <c r="S1559" s="1">
        <v>7</v>
      </c>
      <c r="T1559" s="1">
        <v>14</v>
      </c>
      <c r="U1559" s="1">
        <v>5</v>
      </c>
      <c r="V1559" s="1">
        <v>5</v>
      </c>
    </row>
    <row r="1560" spans="1:22" x14ac:dyDescent="0.2">
      <c r="A1560" s="1" t="s">
        <v>1146</v>
      </c>
      <c r="B1560" s="1" t="s">
        <v>1566</v>
      </c>
      <c r="C1560" s="1">
        <v>66</v>
      </c>
      <c r="D1560" s="1">
        <v>24</v>
      </c>
      <c r="E1560" s="1">
        <v>4</v>
      </c>
      <c r="F1560" s="1">
        <v>22</v>
      </c>
      <c r="G1560" s="1">
        <v>55</v>
      </c>
      <c r="H1560" s="1">
        <v>0</v>
      </c>
      <c r="I1560" s="1">
        <v>0</v>
      </c>
      <c r="J1560" s="1">
        <v>0</v>
      </c>
      <c r="K1560" s="1">
        <v>0</v>
      </c>
      <c r="L1560" s="1">
        <v>79</v>
      </c>
      <c r="M1560" s="1">
        <v>63</v>
      </c>
      <c r="N1560" s="1">
        <v>121</v>
      </c>
      <c r="O1560" s="1">
        <v>201</v>
      </c>
      <c r="P1560" s="1">
        <v>14</v>
      </c>
      <c r="Q1560" s="1">
        <v>6</v>
      </c>
      <c r="R1560" s="1">
        <v>6</v>
      </c>
      <c r="S1560" s="1">
        <v>2</v>
      </c>
      <c r="T1560" s="1">
        <v>6</v>
      </c>
      <c r="U1560" s="1">
        <v>12</v>
      </c>
      <c r="V1560" s="1">
        <v>4</v>
      </c>
    </row>
    <row r="1561" spans="1:22" x14ac:dyDescent="0.2">
      <c r="A1561" s="1" t="s">
        <v>1146</v>
      </c>
      <c r="B1561" s="1" t="s">
        <v>1567</v>
      </c>
      <c r="C1561" s="1">
        <v>0</v>
      </c>
      <c r="D1561" s="1">
        <v>0</v>
      </c>
      <c r="E1561" s="1">
        <v>0</v>
      </c>
      <c r="F1561" s="1">
        <v>0</v>
      </c>
      <c r="G1561" s="1">
        <v>0</v>
      </c>
      <c r="H1561" s="1">
        <v>10</v>
      </c>
      <c r="I1561" s="1">
        <v>3</v>
      </c>
      <c r="J1561" s="1">
        <v>0</v>
      </c>
      <c r="K1561" s="1">
        <v>2</v>
      </c>
      <c r="L1561" s="1">
        <v>0</v>
      </c>
      <c r="M1561" s="1">
        <v>3</v>
      </c>
      <c r="N1561" s="1">
        <v>1</v>
      </c>
      <c r="O1561" s="1">
        <v>0</v>
      </c>
      <c r="P1561" s="1">
        <v>0</v>
      </c>
      <c r="Q1561" s="1">
        <v>0</v>
      </c>
      <c r="R1561" s="1">
        <v>0</v>
      </c>
      <c r="S1561" s="1">
        <v>1</v>
      </c>
      <c r="T1561" s="1">
        <v>1</v>
      </c>
      <c r="U1561" s="1">
        <v>3</v>
      </c>
      <c r="V1561" s="1">
        <v>0</v>
      </c>
    </row>
    <row r="1562" spans="1:22" x14ac:dyDescent="0.2">
      <c r="A1562" s="1" t="s">
        <v>1146</v>
      </c>
      <c r="B1562" s="1" t="s">
        <v>1568</v>
      </c>
      <c r="C1562" s="1">
        <v>24</v>
      </c>
      <c r="D1562" s="1">
        <v>0</v>
      </c>
      <c r="E1562" s="1">
        <v>0</v>
      </c>
      <c r="F1562" s="1">
        <v>0</v>
      </c>
      <c r="G1562" s="1">
        <v>0</v>
      </c>
      <c r="H1562" s="1">
        <v>0</v>
      </c>
      <c r="I1562" s="1">
        <v>0</v>
      </c>
      <c r="J1562" s="1">
        <v>0</v>
      </c>
      <c r="K1562" s="1">
        <v>2</v>
      </c>
      <c r="L1562" s="1">
        <v>1</v>
      </c>
      <c r="M1562" s="1">
        <v>1</v>
      </c>
      <c r="N1562" s="1">
        <v>1</v>
      </c>
      <c r="O1562" s="1">
        <v>1</v>
      </c>
      <c r="P1562" s="1">
        <v>2</v>
      </c>
      <c r="Q1562" s="1">
        <v>0</v>
      </c>
      <c r="R1562" s="1">
        <v>1</v>
      </c>
      <c r="S1562" s="1">
        <v>0</v>
      </c>
      <c r="T1562" s="1">
        <v>0</v>
      </c>
      <c r="U1562" s="1">
        <v>0</v>
      </c>
      <c r="V1562" s="1">
        <v>0</v>
      </c>
    </row>
    <row r="1563" spans="1:22" x14ac:dyDescent="0.2">
      <c r="A1563" s="1" t="s">
        <v>1146</v>
      </c>
      <c r="B1563" s="1" t="s">
        <v>1569</v>
      </c>
      <c r="C1563" s="1">
        <v>0</v>
      </c>
      <c r="D1563" s="1">
        <v>0</v>
      </c>
      <c r="E1563" s="1">
        <v>0</v>
      </c>
      <c r="F1563" s="1">
        <v>0</v>
      </c>
      <c r="G1563" s="1">
        <v>0</v>
      </c>
      <c r="H1563" s="1">
        <v>0</v>
      </c>
      <c r="I1563" s="1">
        <v>1</v>
      </c>
      <c r="J1563" s="1">
        <v>1</v>
      </c>
      <c r="K1563" s="1">
        <v>5</v>
      </c>
      <c r="L1563" s="1">
        <v>2</v>
      </c>
      <c r="M1563" s="1">
        <v>3</v>
      </c>
      <c r="N1563" s="1">
        <v>1</v>
      </c>
      <c r="O1563" s="1">
        <v>0</v>
      </c>
      <c r="P1563" s="1">
        <v>0</v>
      </c>
      <c r="Q1563" s="1">
        <v>0</v>
      </c>
      <c r="R1563" s="1">
        <v>0</v>
      </c>
      <c r="S1563" s="1">
        <v>0</v>
      </c>
      <c r="T1563" s="1">
        <v>0</v>
      </c>
      <c r="U1563" s="1">
        <v>0</v>
      </c>
      <c r="V1563" s="1">
        <v>0</v>
      </c>
    </row>
    <row r="1564" spans="1:22" x14ac:dyDescent="0.2">
      <c r="A1564" s="1" t="s">
        <v>1146</v>
      </c>
      <c r="B1564" s="1" t="s">
        <v>1570</v>
      </c>
      <c r="C1564" s="1">
        <v>89</v>
      </c>
      <c r="D1564" s="1">
        <v>99</v>
      </c>
      <c r="E1564" s="1">
        <v>85</v>
      </c>
      <c r="F1564" s="1">
        <v>83</v>
      </c>
      <c r="G1564" s="1">
        <v>83</v>
      </c>
      <c r="H1564" s="1">
        <v>93</v>
      </c>
      <c r="I1564" s="1">
        <v>84</v>
      </c>
      <c r="J1564" s="1">
        <v>77</v>
      </c>
      <c r="K1564" s="1">
        <v>136</v>
      </c>
      <c r="L1564" s="1">
        <v>206</v>
      </c>
      <c r="M1564" s="1">
        <v>261</v>
      </c>
      <c r="N1564" s="1">
        <v>262</v>
      </c>
      <c r="O1564" s="1">
        <v>216</v>
      </c>
      <c r="P1564" s="1">
        <v>189</v>
      </c>
      <c r="Q1564" s="1">
        <v>197</v>
      </c>
      <c r="R1564" s="1">
        <v>206</v>
      </c>
      <c r="S1564" s="1">
        <v>157</v>
      </c>
      <c r="T1564" s="1">
        <v>3</v>
      </c>
      <c r="U1564" s="1">
        <v>140</v>
      </c>
      <c r="V1564" s="1">
        <v>251</v>
      </c>
    </row>
    <row r="1565" spans="1:22" x14ac:dyDescent="0.2">
      <c r="A1565" s="1" t="s">
        <v>1146</v>
      </c>
      <c r="B1565" s="1" t="s">
        <v>1571</v>
      </c>
      <c r="C1565" s="1">
        <v>0</v>
      </c>
      <c r="D1565" s="1">
        <v>0</v>
      </c>
      <c r="E1565" s="1">
        <v>0</v>
      </c>
      <c r="F1565" s="1">
        <v>0</v>
      </c>
      <c r="G1565" s="1">
        <v>0</v>
      </c>
      <c r="H1565" s="1">
        <v>0</v>
      </c>
      <c r="I1565" s="1">
        <v>0</v>
      </c>
      <c r="J1565" s="1">
        <v>0</v>
      </c>
      <c r="K1565" s="1">
        <v>0</v>
      </c>
      <c r="L1565" s="1">
        <v>0</v>
      </c>
      <c r="M1565" s="1">
        <v>0</v>
      </c>
      <c r="N1565" s="1">
        <v>0</v>
      </c>
      <c r="O1565" s="1">
        <v>0</v>
      </c>
      <c r="P1565" s="1">
        <v>2</v>
      </c>
      <c r="Q1565" s="1">
        <v>0</v>
      </c>
      <c r="R1565" s="1">
        <v>0</v>
      </c>
      <c r="S1565" s="1">
        <v>0</v>
      </c>
      <c r="T1565" s="1">
        <v>3</v>
      </c>
      <c r="U1565" s="1">
        <v>1</v>
      </c>
      <c r="V1565" s="1">
        <v>1</v>
      </c>
    </row>
    <row r="1566" spans="1:22" x14ac:dyDescent="0.2">
      <c r="A1566" s="1" t="s">
        <v>1146</v>
      </c>
      <c r="B1566" s="1" t="s">
        <v>1572</v>
      </c>
      <c r="C1566" s="1">
        <v>0</v>
      </c>
      <c r="D1566" s="1">
        <v>0</v>
      </c>
      <c r="E1566" s="1">
        <v>0</v>
      </c>
      <c r="F1566" s="1">
        <v>0</v>
      </c>
      <c r="G1566" s="1">
        <v>0</v>
      </c>
      <c r="H1566" s="1">
        <v>0</v>
      </c>
      <c r="I1566" s="1">
        <v>0</v>
      </c>
      <c r="J1566" s="1">
        <v>0</v>
      </c>
      <c r="K1566" s="1">
        <v>0</v>
      </c>
      <c r="L1566" s="1">
        <v>800</v>
      </c>
      <c r="M1566" s="1">
        <v>87</v>
      </c>
      <c r="N1566" s="1">
        <v>544</v>
      </c>
      <c r="O1566" s="1">
        <v>871</v>
      </c>
      <c r="P1566" s="1">
        <v>1151</v>
      </c>
      <c r="Q1566" s="1">
        <v>512</v>
      </c>
      <c r="R1566" s="1">
        <v>177</v>
      </c>
      <c r="S1566" s="1">
        <v>19</v>
      </c>
      <c r="T1566" s="1">
        <v>131</v>
      </c>
      <c r="U1566" s="1">
        <v>61</v>
      </c>
      <c r="V1566" s="1">
        <v>447</v>
      </c>
    </row>
    <row r="1567" spans="1:22" x14ac:dyDescent="0.2">
      <c r="A1567" s="1" t="s">
        <v>1146</v>
      </c>
      <c r="B1567" s="1" t="s">
        <v>1573</v>
      </c>
      <c r="C1567" s="1">
        <v>0</v>
      </c>
      <c r="D1567" s="1">
        <v>0</v>
      </c>
      <c r="E1567" s="1">
        <v>0</v>
      </c>
      <c r="F1567" s="1">
        <v>0</v>
      </c>
      <c r="G1567" s="1">
        <v>0</v>
      </c>
      <c r="H1567" s="1">
        <v>0</v>
      </c>
      <c r="I1567" s="1">
        <v>0</v>
      </c>
      <c r="J1567" s="1">
        <v>0</v>
      </c>
      <c r="K1567" s="1">
        <v>0</v>
      </c>
      <c r="L1567" s="1">
        <v>0</v>
      </c>
      <c r="M1567" s="1">
        <v>0</v>
      </c>
      <c r="N1567" s="1">
        <v>0</v>
      </c>
      <c r="O1567" s="1">
        <v>40</v>
      </c>
      <c r="P1567" s="1">
        <v>103</v>
      </c>
      <c r="Q1567" s="1">
        <v>124</v>
      </c>
      <c r="R1567" s="1">
        <v>174</v>
      </c>
      <c r="S1567" s="1">
        <v>154</v>
      </c>
      <c r="T1567" s="1">
        <v>130</v>
      </c>
      <c r="U1567" s="1">
        <v>229</v>
      </c>
      <c r="V1567" s="1">
        <v>47</v>
      </c>
    </row>
    <row r="1568" spans="1:22" x14ac:dyDescent="0.2">
      <c r="A1568" s="1" t="s">
        <v>1146</v>
      </c>
      <c r="B1568" s="1" t="s">
        <v>1574</v>
      </c>
      <c r="C1568" s="1">
        <v>24</v>
      </c>
      <c r="D1568" s="1">
        <v>49</v>
      </c>
      <c r="E1568" s="1">
        <v>19</v>
      </c>
      <c r="F1568" s="1">
        <v>12</v>
      </c>
      <c r="G1568" s="1">
        <v>38</v>
      </c>
      <c r="H1568" s="1">
        <v>24</v>
      </c>
      <c r="I1568" s="1">
        <v>49</v>
      </c>
      <c r="J1568" s="1">
        <v>28</v>
      </c>
      <c r="K1568" s="1">
        <v>43</v>
      </c>
      <c r="L1568" s="1">
        <v>46</v>
      </c>
      <c r="M1568" s="1">
        <v>33</v>
      </c>
      <c r="N1568" s="1">
        <v>32</v>
      </c>
      <c r="O1568" s="1">
        <v>21</v>
      </c>
      <c r="P1568" s="1">
        <v>20</v>
      </c>
      <c r="Q1568" s="1">
        <v>3</v>
      </c>
      <c r="R1568" s="1">
        <v>30</v>
      </c>
      <c r="S1568" s="1">
        <v>15</v>
      </c>
      <c r="T1568" s="1">
        <v>25</v>
      </c>
      <c r="U1568" s="1">
        <v>20</v>
      </c>
      <c r="V1568" s="1">
        <v>14</v>
      </c>
    </row>
    <row r="1569" spans="1:22" x14ac:dyDescent="0.2">
      <c r="A1569" s="1" t="s">
        <v>1146</v>
      </c>
      <c r="B1569" s="1" t="s">
        <v>1575</v>
      </c>
      <c r="C1569" s="1">
        <v>0</v>
      </c>
      <c r="D1569" s="1">
        <v>0</v>
      </c>
      <c r="E1569" s="1">
        <v>0</v>
      </c>
      <c r="F1569" s="1">
        <v>0</v>
      </c>
      <c r="G1569" s="1">
        <v>0</v>
      </c>
      <c r="H1569" s="1">
        <v>0</v>
      </c>
      <c r="I1569" s="1">
        <v>0</v>
      </c>
      <c r="J1569" s="1">
        <v>0</v>
      </c>
      <c r="K1569" s="1">
        <v>0</v>
      </c>
      <c r="L1569" s="1">
        <v>1</v>
      </c>
      <c r="M1569" s="1">
        <v>0</v>
      </c>
      <c r="N1569" s="1">
        <v>0</v>
      </c>
      <c r="O1569" s="1">
        <v>0</v>
      </c>
      <c r="P1569" s="1">
        <v>1</v>
      </c>
      <c r="Q1569" s="1">
        <v>0</v>
      </c>
      <c r="R1569" s="1">
        <v>0</v>
      </c>
      <c r="S1569" s="1">
        <v>0</v>
      </c>
      <c r="T1569" s="1">
        <v>0</v>
      </c>
      <c r="U1569" s="1">
        <v>0</v>
      </c>
      <c r="V1569" s="1">
        <v>0</v>
      </c>
    </row>
    <row r="1570" spans="1:22" x14ac:dyDescent="0.2">
      <c r="A1570" s="1" t="s">
        <v>1146</v>
      </c>
      <c r="B1570" s="1" t="s">
        <v>1576</v>
      </c>
      <c r="C1570" s="1">
        <v>0</v>
      </c>
      <c r="D1570" s="1">
        <v>0</v>
      </c>
      <c r="E1570" s="1">
        <v>0</v>
      </c>
      <c r="F1570" s="1">
        <v>0</v>
      </c>
      <c r="G1570" s="1">
        <v>0</v>
      </c>
      <c r="H1570" s="1">
        <v>0</v>
      </c>
      <c r="I1570" s="1">
        <v>0</v>
      </c>
      <c r="J1570" s="1">
        <v>0</v>
      </c>
      <c r="K1570" s="1">
        <v>1</v>
      </c>
      <c r="L1570" s="1">
        <v>0</v>
      </c>
      <c r="M1570" s="1">
        <v>0</v>
      </c>
      <c r="N1570" s="1">
        <v>0</v>
      </c>
      <c r="O1570" s="1">
        <v>0</v>
      </c>
      <c r="P1570" s="1">
        <v>0</v>
      </c>
      <c r="Q1570" s="1">
        <v>0</v>
      </c>
      <c r="R1570" s="1">
        <v>0</v>
      </c>
      <c r="S1570" s="1">
        <v>0</v>
      </c>
      <c r="T1570" s="1">
        <v>0</v>
      </c>
      <c r="U1570" s="1">
        <v>0</v>
      </c>
      <c r="V1570" s="1">
        <v>0</v>
      </c>
    </row>
    <row r="1571" spans="1:22" x14ac:dyDescent="0.2">
      <c r="A1571" s="1" t="s">
        <v>1146</v>
      </c>
      <c r="B1571" s="1" t="s">
        <v>1577</v>
      </c>
      <c r="C1571" s="1">
        <v>0</v>
      </c>
      <c r="D1571" s="1">
        <v>0</v>
      </c>
      <c r="E1571" s="1">
        <v>0</v>
      </c>
      <c r="F1571" s="1">
        <v>0</v>
      </c>
      <c r="G1571" s="1">
        <v>0</v>
      </c>
      <c r="H1571" s="1">
        <v>0</v>
      </c>
      <c r="I1571" s="1">
        <v>0</v>
      </c>
      <c r="J1571" s="1">
        <v>0</v>
      </c>
      <c r="K1571" s="1">
        <v>0</v>
      </c>
      <c r="L1571" s="1">
        <v>0</v>
      </c>
      <c r="M1571" s="1">
        <v>1</v>
      </c>
      <c r="N1571" s="1">
        <v>1</v>
      </c>
      <c r="O1571" s="1">
        <v>0</v>
      </c>
      <c r="P1571" s="1">
        <v>1</v>
      </c>
      <c r="Q1571" s="1">
        <v>0</v>
      </c>
      <c r="R1571" s="1">
        <v>3</v>
      </c>
      <c r="S1571" s="1">
        <v>6</v>
      </c>
      <c r="T1571" s="1">
        <v>15</v>
      </c>
      <c r="U1571" s="1">
        <v>22</v>
      </c>
      <c r="V1571" s="1">
        <v>0</v>
      </c>
    </row>
    <row r="1572" spans="1:22" x14ac:dyDescent="0.2">
      <c r="A1572" s="1" t="s">
        <v>1146</v>
      </c>
      <c r="B1572" s="1" t="s">
        <v>1578</v>
      </c>
      <c r="C1572" s="1">
        <v>0</v>
      </c>
      <c r="D1572" s="1">
        <v>0</v>
      </c>
      <c r="E1572" s="1">
        <v>0</v>
      </c>
      <c r="F1572" s="1">
        <v>0</v>
      </c>
      <c r="G1572" s="1">
        <v>0</v>
      </c>
      <c r="H1572" s="1">
        <v>0</v>
      </c>
      <c r="I1572" s="1">
        <v>0</v>
      </c>
      <c r="J1572" s="1">
        <v>0</v>
      </c>
      <c r="K1572" s="1">
        <v>0</v>
      </c>
      <c r="L1572" s="1">
        <v>0</v>
      </c>
      <c r="M1572" s="1">
        <v>1</v>
      </c>
      <c r="N1572" s="1">
        <v>0</v>
      </c>
      <c r="O1572" s="1">
        <v>0</v>
      </c>
      <c r="P1572" s="1">
        <v>0</v>
      </c>
      <c r="Q1572" s="1">
        <v>1</v>
      </c>
      <c r="R1572" s="1">
        <v>0</v>
      </c>
      <c r="S1572" s="1">
        <v>0</v>
      </c>
      <c r="T1572" s="1">
        <v>0</v>
      </c>
      <c r="U1572" s="1">
        <v>0</v>
      </c>
      <c r="V1572" s="1">
        <v>0</v>
      </c>
    </row>
    <row r="1573" spans="1:22" x14ac:dyDescent="0.2">
      <c r="A1573" s="1" t="s">
        <v>1146</v>
      </c>
      <c r="B1573" s="1" t="s">
        <v>1579</v>
      </c>
      <c r="C1573" s="1">
        <v>0</v>
      </c>
      <c r="D1573" s="1">
        <v>0</v>
      </c>
      <c r="E1573" s="1">
        <v>0</v>
      </c>
      <c r="F1573" s="1">
        <v>0</v>
      </c>
      <c r="G1573" s="1">
        <v>0</v>
      </c>
      <c r="H1573" s="1">
        <v>0</v>
      </c>
      <c r="I1573" s="1">
        <v>0</v>
      </c>
      <c r="J1573" s="1">
        <v>0</v>
      </c>
      <c r="K1573" s="1">
        <v>7</v>
      </c>
      <c r="L1573" s="1">
        <v>5</v>
      </c>
      <c r="M1573" s="1">
        <v>0</v>
      </c>
      <c r="N1573" s="1">
        <v>0</v>
      </c>
      <c r="O1573" s="1">
        <v>1</v>
      </c>
      <c r="P1573" s="1">
        <v>1</v>
      </c>
      <c r="Q1573" s="1">
        <v>2</v>
      </c>
      <c r="R1573" s="1">
        <v>2</v>
      </c>
      <c r="S1573" s="1">
        <v>2</v>
      </c>
      <c r="T1573" s="1">
        <v>1</v>
      </c>
      <c r="U1573" s="1">
        <v>0</v>
      </c>
      <c r="V1573" s="1">
        <v>1</v>
      </c>
    </row>
    <row r="1574" spans="1:22" x14ac:dyDescent="0.2">
      <c r="A1574" s="1" t="s">
        <v>1146</v>
      </c>
      <c r="B1574" s="1" t="s">
        <v>1580</v>
      </c>
      <c r="C1574" s="1">
        <v>0</v>
      </c>
      <c r="D1574" s="1">
        <v>0</v>
      </c>
      <c r="E1574" s="1">
        <v>0</v>
      </c>
      <c r="F1574" s="1">
        <v>0</v>
      </c>
      <c r="G1574" s="1">
        <v>0</v>
      </c>
      <c r="H1574" s="1">
        <v>0</v>
      </c>
      <c r="I1574" s="1">
        <v>0</v>
      </c>
      <c r="J1574" s="1">
        <v>0</v>
      </c>
      <c r="K1574" s="1">
        <v>0</v>
      </c>
      <c r="L1574" s="1">
        <v>0</v>
      </c>
      <c r="M1574" s="1">
        <v>0</v>
      </c>
      <c r="N1574" s="1">
        <v>0</v>
      </c>
      <c r="O1574" s="1">
        <v>0</v>
      </c>
      <c r="P1574" s="1">
        <v>0</v>
      </c>
      <c r="Q1574" s="1">
        <v>1</v>
      </c>
      <c r="R1574" s="1">
        <v>0</v>
      </c>
      <c r="S1574" s="1">
        <v>0</v>
      </c>
      <c r="T1574" s="1">
        <v>0</v>
      </c>
      <c r="U1574" s="1">
        <v>0</v>
      </c>
      <c r="V1574" s="1">
        <v>0</v>
      </c>
    </row>
    <row r="1575" spans="1:22" x14ac:dyDescent="0.2">
      <c r="A1575" s="1" t="s">
        <v>1146</v>
      </c>
      <c r="B1575" s="1" t="s">
        <v>1581</v>
      </c>
      <c r="C1575" s="1">
        <v>0</v>
      </c>
      <c r="D1575" s="1">
        <v>0</v>
      </c>
      <c r="E1575" s="1">
        <v>0</v>
      </c>
      <c r="F1575" s="1">
        <v>0</v>
      </c>
      <c r="G1575" s="1">
        <v>0</v>
      </c>
      <c r="H1575" s="1">
        <v>0</v>
      </c>
      <c r="I1575" s="1">
        <v>0</v>
      </c>
      <c r="J1575" s="1">
        <v>0</v>
      </c>
      <c r="K1575" s="1">
        <v>2</v>
      </c>
      <c r="L1575" s="1">
        <v>0</v>
      </c>
      <c r="M1575" s="1">
        <v>0</v>
      </c>
      <c r="N1575" s="1">
        <v>0</v>
      </c>
      <c r="O1575" s="1">
        <v>1</v>
      </c>
      <c r="P1575" s="1">
        <v>0</v>
      </c>
      <c r="Q1575" s="1">
        <v>0</v>
      </c>
      <c r="R1575" s="1">
        <v>0</v>
      </c>
      <c r="S1575" s="1">
        <v>0</v>
      </c>
      <c r="T1575" s="1">
        <v>0</v>
      </c>
      <c r="U1575" s="1">
        <v>0</v>
      </c>
      <c r="V1575" s="1">
        <v>1</v>
      </c>
    </row>
    <row r="1576" spans="1:22" x14ac:dyDescent="0.2">
      <c r="A1576" s="1" t="s">
        <v>1146</v>
      </c>
      <c r="B1576" s="1" t="s">
        <v>1582</v>
      </c>
      <c r="C1576" s="1">
        <v>0</v>
      </c>
      <c r="D1576" s="1">
        <v>0</v>
      </c>
      <c r="E1576" s="1">
        <v>0</v>
      </c>
      <c r="F1576" s="1">
        <v>0</v>
      </c>
      <c r="G1576" s="1">
        <v>0</v>
      </c>
      <c r="H1576" s="1">
        <v>0</v>
      </c>
      <c r="I1576" s="1">
        <v>0</v>
      </c>
      <c r="J1576" s="1">
        <v>0</v>
      </c>
      <c r="K1576" s="1">
        <v>0</v>
      </c>
      <c r="L1576" s="1">
        <v>0</v>
      </c>
      <c r="M1576" s="1">
        <v>0</v>
      </c>
      <c r="N1576" s="1">
        <v>0</v>
      </c>
      <c r="O1576" s="1">
        <v>5</v>
      </c>
      <c r="P1576" s="1">
        <v>2</v>
      </c>
      <c r="Q1576" s="1">
        <v>1</v>
      </c>
      <c r="R1576" s="1">
        <v>0</v>
      </c>
      <c r="S1576" s="1">
        <v>1</v>
      </c>
      <c r="T1576" s="1">
        <v>0</v>
      </c>
      <c r="U1576" s="1">
        <v>0</v>
      </c>
      <c r="V1576" s="1">
        <v>1</v>
      </c>
    </row>
    <row r="1577" spans="1:22" x14ac:dyDescent="0.2">
      <c r="A1577" s="1" t="s">
        <v>1146</v>
      </c>
      <c r="B1577" s="1" t="s">
        <v>1583</v>
      </c>
      <c r="C1577" s="1">
        <v>0</v>
      </c>
      <c r="D1577" s="1">
        <v>0</v>
      </c>
      <c r="E1577" s="1">
        <v>0</v>
      </c>
      <c r="F1577" s="1">
        <v>0</v>
      </c>
      <c r="G1577" s="1">
        <v>41</v>
      </c>
      <c r="H1577" s="1">
        <v>38</v>
      </c>
      <c r="I1577" s="1">
        <v>124</v>
      </c>
      <c r="J1577" s="1">
        <v>104</v>
      </c>
      <c r="K1577" s="1">
        <v>160</v>
      </c>
      <c r="L1577" s="1">
        <v>133</v>
      </c>
      <c r="M1577" s="1">
        <v>122</v>
      </c>
      <c r="N1577" s="1">
        <v>115</v>
      </c>
      <c r="O1577" s="1">
        <v>74</v>
      </c>
      <c r="P1577" s="1">
        <v>64</v>
      </c>
      <c r="Q1577" s="1">
        <v>92</v>
      </c>
      <c r="R1577" s="1">
        <v>29</v>
      </c>
      <c r="S1577" s="1">
        <v>15</v>
      </c>
      <c r="T1577" s="1">
        <v>82</v>
      </c>
      <c r="U1577" s="1">
        <v>1</v>
      </c>
      <c r="V1577" s="1">
        <v>1</v>
      </c>
    </row>
    <row r="1578" spans="1:22" x14ac:dyDescent="0.2">
      <c r="A1578" s="1" t="s">
        <v>1146</v>
      </c>
      <c r="B1578" s="1" t="s">
        <v>1584</v>
      </c>
      <c r="C1578" s="1">
        <v>0</v>
      </c>
      <c r="D1578" s="1">
        <v>0</v>
      </c>
      <c r="E1578" s="1">
        <v>0</v>
      </c>
      <c r="F1578" s="1">
        <v>0</v>
      </c>
      <c r="G1578" s="1">
        <v>0</v>
      </c>
      <c r="H1578" s="1">
        <v>0</v>
      </c>
      <c r="I1578" s="1">
        <v>0</v>
      </c>
      <c r="J1578" s="1">
        <v>0</v>
      </c>
      <c r="K1578" s="1">
        <v>0</v>
      </c>
      <c r="L1578" s="1">
        <v>0</v>
      </c>
      <c r="M1578" s="1">
        <v>0</v>
      </c>
      <c r="N1578" s="1">
        <v>0</v>
      </c>
      <c r="O1578" s="1">
        <v>0</v>
      </c>
      <c r="P1578" s="1">
        <v>0</v>
      </c>
      <c r="Q1578" s="1">
        <v>0</v>
      </c>
      <c r="R1578" s="1">
        <v>0</v>
      </c>
      <c r="S1578" s="1">
        <v>0</v>
      </c>
      <c r="T1578" s="1">
        <v>0</v>
      </c>
      <c r="U1578" s="1">
        <v>233</v>
      </c>
      <c r="V1578" s="1">
        <v>40</v>
      </c>
    </row>
    <row r="1579" spans="1:22" x14ac:dyDescent="0.2">
      <c r="A1579" s="1" t="s">
        <v>1146</v>
      </c>
      <c r="B1579" s="1" t="s">
        <v>1585</v>
      </c>
      <c r="C1579" s="1">
        <v>0</v>
      </c>
      <c r="D1579" s="1">
        <v>0</v>
      </c>
      <c r="E1579" s="1">
        <v>0</v>
      </c>
      <c r="F1579" s="1">
        <v>0</v>
      </c>
      <c r="G1579" s="1">
        <v>0</v>
      </c>
      <c r="H1579" s="1">
        <v>0</v>
      </c>
      <c r="I1579" s="1">
        <v>0</v>
      </c>
      <c r="J1579" s="1">
        <v>0</v>
      </c>
      <c r="K1579" s="1">
        <v>0</v>
      </c>
      <c r="L1579" s="1">
        <v>0</v>
      </c>
      <c r="M1579" s="1">
        <v>0</v>
      </c>
      <c r="N1579" s="1">
        <v>0</v>
      </c>
      <c r="O1579" s="1">
        <v>0</v>
      </c>
      <c r="P1579" s="1">
        <v>0</v>
      </c>
      <c r="Q1579" s="1">
        <v>3</v>
      </c>
      <c r="R1579" s="1">
        <v>1</v>
      </c>
      <c r="S1579" s="1">
        <v>14</v>
      </c>
      <c r="T1579" s="1">
        <v>1</v>
      </c>
      <c r="U1579" s="1">
        <v>3</v>
      </c>
      <c r="V1579" s="1">
        <v>0</v>
      </c>
    </row>
    <row r="1580" spans="1:22" x14ac:dyDescent="0.2">
      <c r="A1580" s="1" t="s">
        <v>1146</v>
      </c>
      <c r="B1580" s="1" t="s">
        <v>1586</v>
      </c>
      <c r="C1580" s="1">
        <v>0</v>
      </c>
      <c r="D1580" s="1">
        <v>0</v>
      </c>
      <c r="E1580" s="1">
        <v>0</v>
      </c>
      <c r="F1580" s="1">
        <v>0</v>
      </c>
      <c r="G1580" s="1">
        <v>0</v>
      </c>
      <c r="H1580" s="1">
        <v>0</v>
      </c>
      <c r="I1580" s="1">
        <v>0</v>
      </c>
      <c r="J1580" s="1">
        <v>0</v>
      </c>
      <c r="K1580" s="1">
        <v>0</v>
      </c>
      <c r="L1580" s="1">
        <v>15</v>
      </c>
      <c r="M1580" s="1">
        <v>14</v>
      </c>
      <c r="N1580" s="1">
        <v>18</v>
      </c>
      <c r="O1580" s="1">
        <v>8</v>
      </c>
      <c r="P1580" s="1">
        <v>25</v>
      </c>
      <c r="Q1580" s="1">
        <v>49</v>
      </c>
      <c r="R1580" s="1">
        <v>76</v>
      </c>
      <c r="S1580" s="1">
        <v>71</v>
      </c>
      <c r="T1580" s="1">
        <v>72</v>
      </c>
      <c r="U1580" s="1">
        <v>120</v>
      </c>
      <c r="V1580" s="1">
        <v>42</v>
      </c>
    </row>
    <row r="1581" spans="1:22" x14ac:dyDescent="0.2">
      <c r="A1581" s="1" t="s">
        <v>1146</v>
      </c>
      <c r="B1581" s="1" t="s">
        <v>1587</v>
      </c>
      <c r="C1581" s="1">
        <v>1</v>
      </c>
      <c r="D1581" s="1">
        <v>4</v>
      </c>
      <c r="E1581" s="1">
        <v>3</v>
      </c>
      <c r="F1581" s="1">
        <v>8</v>
      </c>
      <c r="G1581" s="1">
        <v>3</v>
      </c>
      <c r="H1581" s="1">
        <v>1</v>
      </c>
      <c r="I1581" s="1">
        <v>1</v>
      </c>
      <c r="J1581" s="1">
        <v>4</v>
      </c>
      <c r="K1581" s="1">
        <v>11</v>
      </c>
      <c r="L1581" s="1">
        <v>1</v>
      </c>
      <c r="M1581" s="1">
        <v>6</v>
      </c>
      <c r="N1581" s="1">
        <v>31</v>
      </c>
      <c r="O1581" s="1">
        <v>12</v>
      </c>
      <c r="P1581" s="1">
        <v>14</v>
      </c>
      <c r="Q1581" s="1">
        <v>7</v>
      </c>
      <c r="R1581" s="1">
        <v>4</v>
      </c>
      <c r="S1581" s="1">
        <v>5</v>
      </c>
      <c r="T1581" s="1">
        <v>6</v>
      </c>
      <c r="U1581" s="1">
        <v>7</v>
      </c>
      <c r="V1581" s="1">
        <v>2</v>
      </c>
    </row>
    <row r="1582" spans="1:22" x14ac:dyDescent="0.2">
      <c r="A1582" s="1" t="s">
        <v>1146</v>
      </c>
      <c r="B1582" s="1" t="s">
        <v>1588</v>
      </c>
      <c r="C1582" s="1">
        <v>0</v>
      </c>
      <c r="D1582" s="1">
        <v>0</v>
      </c>
      <c r="E1582" s="1">
        <v>0</v>
      </c>
      <c r="F1582" s="1">
        <v>0</v>
      </c>
      <c r="G1582" s="1">
        <v>0</v>
      </c>
      <c r="H1582" s="1">
        <v>0</v>
      </c>
      <c r="I1582" s="1">
        <v>0</v>
      </c>
      <c r="J1582" s="1">
        <v>0</v>
      </c>
      <c r="K1582" s="1">
        <v>0</v>
      </c>
      <c r="L1582" s="1">
        <v>0</v>
      </c>
      <c r="M1582" s="1">
        <v>0</v>
      </c>
      <c r="N1582" s="1">
        <v>0</v>
      </c>
      <c r="O1582" s="1">
        <v>0</v>
      </c>
      <c r="P1582" s="1">
        <v>0</v>
      </c>
      <c r="Q1582" s="1">
        <v>1</v>
      </c>
      <c r="R1582" s="1">
        <v>1</v>
      </c>
      <c r="S1582" s="1">
        <v>1</v>
      </c>
      <c r="T1582" s="1">
        <v>1</v>
      </c>
      <c r="U1582" s="1">
        <v>2</v>
      </c>
      <c r="V1582" s="1">
        <v>4</v>
      </c>
    </row>
    <row r="1583" spans="1:22" x14ac:dyDescent="0.2">
      <c r="A1583" s="1" t="s">
        <v>1146</v>
      </c>
      <c r="B1583" s="1" t="s">
        <v>1589</v>
      </c>
      <c r="C1583" s="1">
        <v>93</v>
      </c>
      <c r="D1583" s="1">
        <v>99</v>
      </c>
      <c r="E1583" s="1">
        <v>138</v>
      </c>
      <c r="F1583" s="1">
        <v>92</v>
      </c>
      <c r="G1583" s="1">
        <v>105</v>
      </c>
      <c r="H1583" s="1">
        <v>73</v>
      </c>
      <c r="I1583" s="1">
        <v>45</v>
      </c>
      <c r="J1583" s="1">
        <v>89</v>
      </c>
      <c r="K1583" s="1">
        <v>39</v>
      </c>
      <c r="L1583" s="1">
        <v>34</v>
      </c>
      <c r="M1583" s="1">
        <v>22</v>
      </c>
      <c r="N1583" s="1">
        <v>30</v>
      </c>
      <c r="O1583" s="1">
        <v>28</v>
      </c>
      <c r="P1583" s="1">
        <v>61</v>
      </c>
      <c r="Q1583" s="1">
        <v>34</v>
      </c>
      <c r="R1583" s="1">
        <v>36</v>
      </c>
      <c r="S1583" s="1">
        <v>14</v>
      </c>
      <c r="T1583" s="1">
        <v>7</v>
      </c>
      <c r="U1583" s="1">
        <v>3</v>
      </c>
      <c r="V1583" s="1">
        <v>3</v>
      </c>
    </row>
    <row r="1584" spans="1:22" x14ac:dyDescent="0.2">
      <c r="A1584" s="1" t="s">
        <v>1146</v>
      </c>
      <c r="B1584" s="1" t="s">
        <v>1590</v>
      </c>
      <c r="C1584" s="1">
        <v>0</v>
      </c>
      <c r="D1584" s="1">
        <v>0</v>
      </c>
      <c r="E1584" s="1">
        <v>0</v>
      </c>
      <c r="F1584" s="1">
        <v>0</v>
      </c>
      <c r="G1584" s="1">
        <v>0</v>
      </c>
      <c r="H1584" s="1">
        <v>0</v>
      </c>
      <c r="I1584" s="1">
        <v>0</v>
      </c>
      <c r="J1584" s="1">
        <v>0</v>
      </c>
      <c r="K1584" s="1">
        <v>0</v>
      </c>
      <c r="L1584" s="1">
        <v>1</v>
      </c>
      <c r="M1584" s="1">
        <v>0</v>
      </c>
      <c r="N1584" s="1">
        <v>0</v>
      </c>
      <c r="O1584" s="1">
        <v>0</v>
      </c>
      <c r="P1584" s="1">
        <v>0</v>
      </c>
      <c r="Q1584" s="1">
        <v>1</v>
      </c>
      <c r="R1584" s="1">
        <v>3</v>
      </c>
      <c r="S1584" s="1">
        <v>1</v>
      </c>
      <c r="T1584" s="1">
        <v>1</v>
      </c>
      <c r="U1584" s="1">
        <v>1</v>
      </c>
      <c r="V1584" s="1">
        <v>3</v>
      </c>
    </row>
    <row r="1585" spans="1:22" x14ac:dyDescent="0.2">
      <c r="A1585" s="1" t="s">
        <v>1146</v>
      </c>
      <c r="B1585" s="1" t="s">
        <v>1591</v>
      </c>
      <c r="C1585" s="1">
        <v>0</v>
      </c>
      <c r="D1585" s="1">
        <v>0</v>
      </c>
      <c r="E1585" s="1">
        <v>0</v>
      </c>
      <c r="F1585" s="1">
        <v>0</v>
      </c>
      <c r="G1585" s="1">
        <v>0</v>
      </c>
      <c r="H1585" s="1">
        <v>0</v>
      </c>
      <c r="I1585" s="1">
        <v>0</v>
      </c>
      <c r="J1585" s="1">
        <v>0</v>
      </c>
      <c r="K1585" s="1">
        <v>0</v>
      </c>
      <c r="L1585" s="1">
        <v>1</v>
      </c>
      <c r="M1585" s="1">
        <v>0</v>
      </c>
      <c r="N1585" s="1">
        <v>0</v>
      </c>
      <c r="O1585" s="1">
        <v>0</v>
      </c>
      <c r="P1585" s="1">
        <v>0</v>
      </c>
      <c r="Q1585" s="1">
        <v>0</v>
      </c>
      <c r="R1585" s="1">
        <v>0</v>
      </c>
      <c r="S1585" s="1">
        <v>0</v>
      </c>
      <c r="T1585" s="1">
        <v>0</v>
      </c>
      <c r="U1585" s="1">
        <v>0</v>
      </c>
      <c r="V1585" s="1">
        <v>0</v>
      </c>
    </row>
    <row r="1586" spans="1:22" x14ac:dyDescent="0.2">
      <c r="A1586" s="1" t="s">
        <v>1146</v>
      </c>
      <c r="B1586" s="1" t="s">
        <v>1592</v>
      </c>
      <c r="C1586" s="1">
        <v>0</v>
      </c>
      <c r="D1586" s="1">
        <v>0</v>
      </c>
      <c r="E1586" s="1">
        <v>0</v>
      </c>
      <c r="F1586" s="1">
        <v>0</v>
      </c>
      <c r="G1586" s="1">
        <v>0</v>
      </c>
      <c r="H1586" s="1">
        <v>0</v>
      </c>
      <c r="I1586" s="1">
        <v>0</v>
      </c>
      <c r="J1586" s="1">
        <v>0</v>
      </c>
      <c r="K1586" s="1">
        <v>0</v>
      </c>
      <c r="L1586" s="1">
        <v>0</v>
      </c>
      <c r="M1586" s="1">
        <v>0</v>
      </c>
      <c r="N1586" s="1">
        <v>0</v>
      </c>
      <c r="O1586" s="1">
        <v>0</v>
      </c>
      <c r="P1586" s="1">
        <v>0</v>
      </c>
      <c r="Q1586" s="1">
        <v>33</v>
      </c>
      <c r="R1586" s="1">
        <v>46</v>
      </c>
      <c r="S1586" s="1">
        <v>38</v>
      </c>
      <c r="T1586" s="1">
        <v>37</v>
      </c>
      <c r="U1586" s="1">
        <v>28</v>
      </c>
      <c r="V1586" s="1">
        <v>26</v>
      </c>
    </row>
    <row r="1587" spans="1:22" x14ac:dyDescent="0.2">
      <c r="A1587" s="1" t="s">
        <v>1146</v>
      </c>
      <c r="B1587" s="1" t="s">
        <v>1593</v>
      </c>
      <c r="C1587" s="1">
        <v>96</v>
      </c>
      <c r="D1587" s="1">
        <v>339</v>
      </c>
      <c r="E1587" s="1">
        <v>283</v>
      </c>
      <c r="F1587" s="1">
        <v>292</v>
      </c>
      <c r="G1587" s="1">
        <v>385</v>
      </c>
      <c r="H1587" s="1">
        <v>401</v>
      </c>
      <c r="I1587" s="1">
        <v>649</v>
      </c>
      <c r="J1587" s="1">
        <v>1059</v>
      </c>
      <c r="K1587" s="1">
        <v>1225</v>
      </c>
      <c r="L1587" s="1">
        <v>1233</v>
      </c>
      <c r="M1587" s="1">
        <v>794</v>
      </c>
      <c r="N1587" s="1">
        <v>460</v>
      </c>
      <c r="O1587" s="1">
        <v>277</v>
      </c>
      <c r="P1587" s="1">
        <v>210</v>
      </c>
      <c r="Q1587" s="1">
        <v>161</v>
      </c>
      <c r="R1587" s="1">
        <v>61</v>
      </c>
      <c r="S1587" s="1">
        <v>40</v>
      </c>
      <c r="T1587" s="1">
        <v>28</v>
      </c>
      <c r="U1587" s="1">
        <v>16</v>
      </c>
      <c r="V1587" s="1">
        <v>20</v>
      </c>
    </row>
    <row r="1588" spans="1:22" x14ac:dyDescent="0.2">
      <c r="A1588" s="1" t="s">
        <v>1146</v>
      </c>
      <c r="B1588" s="1" t="s">
        <v>1594</v>
      </c>
      <c r="C1588" s="1">
        <v>0</v>
      </c>
      <c r="D1588" s="1">
        <v>0</v>
      </c>
      <c r="E1588" s="1">
        <v>0</v>
      </c>
      <c r="F1588" s="1">
        <v>0</v>
      </c>
      <c r="G1588" s="1">
        <v>0</v>
      </c>
      <c r="H1588" s="1">
        <v>2</v>
      </c>
      <c r="I1588" s="1">
        <v>2</v>
      </c>
      <c r="J1588" s="1">
        <v>0</v>
      </c>
      <c r="K1588" s="1">
        <v>2</v>
      </c>
      <c r="L1588" s="1">
        <v>0</v>
      </c>
      <c r="M1588" s="1">
        <v>1</v>
      </c>
      <c r="N1588" s="1">
        <v>4</v>
      </c>
      <c r="O1588" s="1">
        <v>1</v>
      </c>
      <c r="P1588" s="1">
        <v>0</v>
      </c>
      <c r="Q1588" s="1">
        <v>1</v>
      </c>
      <c r="R1588" s="1">
        <v>0</v>
      </c>
      <c r="S1588" s="1">
        <v>0</v>
      </c>
      <c r="T1588" s="1">
        <v>0</v>
      </c>
      <c r="U1588" s="1">
        <v>0</v>
      </c>
      <c r="V1588" s="1">
        <v>2</v>
      </c>
    </row>
    <row r="1589" spans="1:22" x14ac:dyDescent="0.2">
      <c r="A1589" s="1" t="s">
        <v>1146</v>
      </c>
      <c r="B1589" s="1" t="s">
        <v>1595</v>
      </c>
      <c r="C1589" s="1">
        <v>0</v>
      </c>
      <c r="D1589" s="1">
        <v>0</v>
      </c>
      <c r="E1589" s="1">
        <v>0</v>
      </c>
      <c r="F1589" s="1">
        <v>0</v>
      </c>
      <c r="G1589" s="1">
        <v>0</v>
      </c>
      <c r="H1589" s="1">
        <v>0</v>
      </c>
      <c r="I1589" s="1">
        <v>0</v>
      </c>
      <c r="J1589" s="1">
        <v>0</v>
      </c>
      <c r="K1589" s="1">
        <v>1</v>
      </c>
      <c r="L1589" s="1">
        <v>0</v>
      </c>
      <c r="M1589" s="1">
        <v>2</v>
      </c>
      <c r="N1589" s="1">
        <v>0</v>
      </c>
      <c r="O1589" s="1">
        <v>0</v>
      </c>
      <c r="P1589" s="1">
        <v>0</v>
      </c>
      <c r="Q1589" s="1">
        <v>0</v>
      </c>
      <c r="R1589" s="1">
        <v>0</v>
      </c>
      <c r="S1589" s="1">
        <v>0</v>
      </c>
      <c r="T1589" s="1">
        <v>0</v>
      </c>
      <c r="U1589" s="1">
        <v>0</v>
      </c>
      <c r="V1589" s="1">
        <v>2</v>
      </c>
    </row>
    <row r="1590" spans="1:22" x14ac:dyDescent="0.2">
      <c r="A1590" s="1" t="s">
        <v>1146</v>
      </c>
      <c r="B1590" s="1" t="s">
        <v>1596</v>
      </c>
      <c r="C1590" s="1">
        <v>4</v>
      </c>
      <c r="D1590" s="1">
        <v>6</v>
      </c>
      <c r="E1590" s="1">
        <v>26</v>
      </c>
      <c r="F1590" s="1">
        <v>17</v>
      </c>
      <c r="G1590" s="1">
        <v>17</v>
      </c>
      <c r="H1590" s="1">
        <v>4</v>
      </c>
      <c r="I1590" s="1">
        <v>53</v>
      </c>
      <c r="J1590" s="1">
        <v>127</v>
      </c>
      <c r="K1590" s="1">
        <v>63</v>
      </c>
      <c r="L1590" s="1">
        <v>64</v>
      </c>
      <c r="M1590" s="1">
        <v>57</v>
      </c>
      <c r="N1590" s="1">
        <v>57</v>
      </c>
      <c r="O1590" s="1">
        <v>47</v>
      </c>
      <c r="P1590" s="1">
        <v>31</v>
      </c>
      <c r="Q1590" s="1">
        <v>58</v>
      </c>
      <c r="R1590" s="1">
        <v>78</v>
      </c>
      <c r="S1590" s="1">
        <v>77</v>
      </c>
      <c r="T1590" s="1">
        <v>90</v>
      </c>
      <c r="U1590" s="1">
        <v>250</v>
      </c>
      <c r="V1590" s="1">
        <v>286</v>
      </c>
    </row>
    <row r="1591" spans="1:22" x14ac:dyDescent="0.2">
      <c r="A1591" s="1" t="s">
        <v>1146</v>
      </c>
      <c r="B1591" s="1" t="s">
        <v>1597</v>
      </c>
      <c r="C1591" s="1">
        <v>26</v>
      </c>
      <c r="D1591" s="1">
        <v>36</v>
      </c>
      <c r="E1591" s="1">
        <v>25</v>
      </c>
      <c r="F1591" s="1">
        <v>70</v>
      </c>
      <c r="G1591" s="1">
        <v>58</v>
      </c>
      <c r="H1591" s="1">
        <v>47</v>
      </c>
      <c r="I1591" s="1">
        <v>35</v>
      </c>
      <c r="J1591" s="1">
        <v>25</v>
      </c>
      <c r="K1591" s="1">
        <v>18</v>
      </c>
      <c r="L1591" s="1">
        <v>27</v>
      </c>
      <c r="M1591" s="1">
        <v>100</v>
      </c>
      <c r="N1591" s="1">
        <v>49</v>
      </c>
      <c r="O1591" s="1">
        <v>25</v>
      </c>
      <c r="P1591" s="1">
        <v>14</v>
      </c>
      <c r="Q1591" s="1">
        <v>26</v>
      </c>
      <c r="R1591" s="1">
        <v>11</v>
      </c>
      <c r="S1591" s="1">
        <v>8</v>
      </c>
      <c r="T1591" s="1">
        <v>8</v>
      </c>
      <c r="U1591" s="1">
        <v>11</v>
      </c>
      <c r="V1591" s="1">
        <v>13</v>
      </c>
    </row>
    <row r="1592" spans="1:22" x14ac:dyDescent="0.2">
      <c r="A1592" s="1" t="s">
        <v>1146</v>
      </c>
      <c r="B1592" s="1" t="s">
        <v>1598</v>
      </c>
      <c r="C1592" s="1">
        <v>0</v>
      </c>
      <c r="D1592" s="1">
        <v>0</v>
      </c>
      <c r="E1592" s="1">
        <v>0</v>
      </c>
      <c r="F1592" s="1">
        <v>0</v>
      </c>
      <c r="G1592" s="1">
        <v>0</v>
      </c>
      <c r="H1592" s="1">
        <v>0</v>
      </c>
      <c r="I1592" s="1">
        <v>2</v>
      </c>
      <c r="J1592" s="1">
        <v>2</v>
      </c>
      <c r="K1592" s="1">
        <v>0</v>
      </c>
      <c r="L1592" s="1">
        <v>5</v>
      </c>
      <c r="M1592" s="1">
        <v>2</v>
      </c>
      <c r="N1592" s="1">
        <v>35</v>
      </c>
      <c r="O1592" s="1">
        <v>2</v>
      </c>
      <c r="P1592" s="1">
        <v>6</v>
      </c>
      <c r="Q1592" s="1">
        <v>3</v>
      </c>
      <c r="R1592" s="1">
        <v>8</v>
      </c>
      <c r="S1592" s="1">
        <v>26</v>
      </c>
      <c r="T1592" s="1">
        <v>14</v>
      </c>
      <c r="U1592" s="1">
        <v>28</v>
      </c>
      <c r="V1592" s="1">
        <v>0</v>
      </c>
    </row>
    <row r="1593" spans="1:22" x14ac:dyDescent="0.2">
      <c r="A1593" s="1" t="s">
        <v>1146</v>
      </c>
      <c r="B1593" s="1" t="s">
        <v>1599</v>
      </c>
      <c r="C1593" s="1">
        <v>0</v>
      </c>
      <c r="D1593" s="1">
        <v>0</v>
      </c>
      <c r="E1593" s="1">
        <v>0</v>
      </c>
      <c r="F1593" s="1">
        <v>0</v>
      </c>
      <c r="G1593" s="1">
        <v>0</v>
      </c>
      <c r="H1593" s="1">
        <v>2</v>
      </c>
      <c r="I1593" s="1">
        <v>1</v>
      </c>
      <c r="J1593" s="1">
        <v>0</v>
      </c>
      <c r="K1593" s="1">
        <v>7</v>
      </c>
      <c r="L1593" s="1">
        <v>5</v>
      </c>
      <c r="M1593" s="1">
        <v>5</v>
      </c>
      <c r="N1593" s="1">
        <v>1</v>
      </c>
      <c r="O1593" s="1">
        <v>3</v>
      </c>
      <c r="P1593" s="1">
        <v>1</v>
      </c>
      <c r="Q1593" s="1">
        <v>6</v>
      </c>
      <c r="R1593" s="1">
        <v>9</v>
      </c>
      <c r="S1593" s="1">
        <v>28</v>
      </c>
      <c r="T1593" s="1">
        <v>23</v>
      </c>
      <c r="U1593" s="1">
        <v>25</v>
      </c>
      <c r="V1593" s="1">
        <v>40</v>
      </c>
    </row>
    <row r="1594" spans="1:22" x14ac:dyDescent="0.2">
      <c r="A1594" s="1" t="s">
        <v>1146</v>
      </c>
      <c r="B1594" s="1" t="s">
        <v>1600</v>
      </c>
      <c r="C1594" s="1">
        <v>7</v>
      </c>
      <c r="D1594" s="1">
        <v>0</v>
      </c>
      <c r="E1594" s="1">
        <v>0</v>
      </c>
      <c r="F1594" s="1">
        <v>0</v>
      </c>
      <c r="G1594" s="1">
        <v>0</v>
      </c>
      <c r="H1594" s="1">
        <v>0</v>
      </c>
      <c r="I1594" s="1">
        <v>0</v>
      </c>
      <c r="J1594" s="1">
        <v>0</v>
      </c>
      <c r="K1594" s="1">
        <v>0</v>
      </c>
      <c r="L1594" s="1">
        <v>0</v>
      </c>
      <c r="M1594" s="1">
        <v>0</v>
      </c>
      <c r="N1594" s="1">
        <v>0</v>
      </c>
      <c r="O1594" s="1">
        <v>0</v>
      </c>
      <c r="P1594" s="1">
        <v>0</v>
      </c>
      <c r="Q1594" s="1">
        <v>0</v>
      </c>
      <c r="R1594" s="1">
        <v>0</v>
      </c>
      <c r="S1594" s="1">
        <v>0</v>
      </c>
      <c r="T1594" s="1">
        <v>2</v>
      </c>
      <c r="U1594" s="1">
        <v>1</v>
      </c>
      <c r="V1594" s="1">
        <v>0</v>
      </c>
    </row>
    <row r="1595" spans="1:22" x14ac:dyDescent="0.2">
      <c r="A1595" s="1" t="s">
        <v>1146</v>
      </c>
      <c r="B1595" s="1" t="s">
        <v>1601</v>
      </c>
      <c r="C1595" s="1">
        <v>0</v>
      </c>
      <c r="D1595" s="1">
        <v>0</v>
      </c>
      <c r="E1595" s="1">
        <v>0</v>
      </c>
      <c r="F1595" s="1">
        <v>0</v>
      </c>
      <c r="G1595" s="1">
        <v>0</v>
      </c>
      <c r="H1595" s="1">
        <v>0</v>
      </c>
      <c r="I1595" s="1">
        <v>0</v>
      </c>
      <c r="J1595" s="1">
        <v>0</v>
      </c>
      <c r="K1595" s="1">
        <v>0</v>
      </c>
      <c r="L1595" s="1">
        <v>0</v>
      </c>
      <c r="M1595" s="1">
        <v>0</v>
      </c>
      <c r="N1595" s="1">
        <v>0</v>
      </c>
      <c r="O1595" s="1">
        <v>0</v>
      </c>
      <c r="P1595" s="1">
        <v>0</v>
      </c>
      <c r="Q1595" s="1">
        <v>0</v>
      </c>
      <c r="R1595" s="1">
        <v>0</v>
      </c>
      <c r="S1595" s="1">
        <v>0</v>
      </c>
      <c r="T1595" s="1">
        <v>0</v>
      </c>
      <c r="U1595" s="1">
        <v>1</v>
      </c>
      <c r="V1595" s="1">
        <v>0</v>
      </c>
    </row>
    <row r="1596" spans="1:22" x14ac:dyDescent="0.2">
      <c r="A1596" s="1" t="s">
        <v>1146</v>
      </c>
      <c r="B1596" s="1" t="s">
        <v>1602</v>
      </c>
      <c r="C1596" s="1">
        <v>0</v>
      </c>
      <c r="D1596" s="1">
        <v>0</v>
      </c>
      <c r="E1596" s="1">
        <v>0</v>
      </c>
      <c r="F1596" s="1">
        <v>0</v>
      </c>
      <c r="G1596" s="1">
        <v>0</v>
      </c>
      <c r="H1596" s="1">
        <v>0</v>
      </c>
      <c r="I1596" s="1">
        <v>17</v>
      </c>
      <c r="J1596" s="1">
        <v>27</v>
      </c>
      <c r="K1596" s="1">
        <v>1</v>
      </c>
      <c r="L1596" s="1">
        <v>0</v>
      </c>
      <c r="M1596" s="1">
        <v>0</v>
      </c>
      <c r="N1596" s="1">
        <v>0</v>
      </c>
      <c r="O1596" s="1">
        <v>0</v>
      </c>
      <c r="P1596" s="1">
        <v>0</v>
      </c>
      <c r="Q1596" s="1">
        <v>1</v>
      </c>
      <c r="R1596" s="1">
        <v>0</v>
      </c>
      <c r="S1596" s="1">
        <v>0</v>
      </c>
      <c r="T1596" s="1">
        <v>0</v>
      </c>
      <c r="U1596" s="1">
        <v>0</v>
      </c>
      <c r="V1596" s="1">
        <v>0</v>
      </c>
    </row>
    <row r="1597" spans="1:22" x14ac:dyDescent="0.2">
      <c r="A1597" s="1" t="s">
        <v>1146</v>
      </c>
      <c r="B1597" s="1" t="s">
        <v>1603</v>
      </c>
      <c r="C1597" s="1">
        <v>0</v>
      </c>
      <c r="D1597" s="1">
        <v>0</v>
      </c>
      <c r="E1597" s="1">
        <v>0</v>
      </c>
      <c r="F1597" s="1">
        <v>0</v>
      </c>
      <c r="G1597" s="1">
        <v>0</v>
      </c>
      <c r="H1597" s="1">
        <v>0</v>
      </c>
      <c r="I1597" s="1">
        <v>1</v>
      </c>
      <c r="J1597" s="1">
        <v>0</v>
      </c>
      <c r="K1597" s="1">
        <v>3</v>
      </c>
      <c r="L1597" s="1">
        <v>2</v>
      </c>
      <c r="M1597" s="1">
        <v>0</v>
      </c>
      <c r="N1597" s="1">
        <v>8</v>
      </c>
      <c r="O1597" s="1">
        <v>0</v>
      </c>
      <c r="P1597" s="1">
        <v>0</v>
      </c>
      <c r="Q1597" s="1">
        <v>0</v>
      </c>
      <c r="R1597" s="1">
        <v>0</v>
      </c>
      <c r="S1597" s="1">
        <v>0</v>
      </c>
      <c r="T1597" s="1">
        <v>0</v>
      </c>
      <c r="U1597" s="1">
        <v>0</v>
      </c>
      <c r="V1597" s="1">
        <v>1</v>
      </c>
    </row>
    <row r="1598" spans="1:22" x14ac:dyDescent="0.2">
      <c r="A1598" s="1" t="s">
        <v>1146</v>
      </c>
      <c r="B1598" s="1" t="s">
        <v>1604</v>
      </c>
      <c r="C1598" s="1">
        <v>0</v>
      </c>
      <c r="D1598" s="1">
        <v>0</v>
      </c>
      <c r="E1598" s="1">
        <v>0</v>
      </c>
      <c r="F1598" s="1">
        <v>0</v>
      </c>
      <c r="G1598" s="1">
        <v>0</v>
      </c>
      <c r="H1598" s="1">
        <v>0</v>
      </c>
      <c r="I1598" s="1">
        <v>0</v>
      </c>
      <c r="J1598" s="1">
        <v>0</v>
      </c>
      <c r="K1598" s="1">
        <v>0</v>
      </c>
      <c r="L1598" s="1">
        <v>0</v>
      </c>
      <c r="M1598" s="1">
        <v>0</v>
      </c>
      <c r="N1598" s="1">
        <v>0</v>
      </c>
      <c r="O1598" s="1">
        <v>0</v>
      </c>
      <c r="P1598" s="1">
        <v>0</v>
      </c>
      <c r="Q1598" s="1">
        <v>1</v>
      </c>
      <c r="R1598" s="1">
        <v>0</v>
      </c>
      <c r="S1598" s="1">
        <v>0</v>
      </c>
      <c r="T1598" s="1">
        <v>6</v>
      </c>
      <c r="U1598" s="1">
        <v>32</v>
      </c>
      <c r="V1598" s="1">
        <v>12</v>
      </c>
    </row>
    <row r="1599" spans="1:22" x14ac:dyDescent="0.2">
      <c r="A1599" s="1" t="s">
        <v>1146</v>
      </c>
      <c r="B1599" s="1" t="s">
        <v>1605</v>
      </c>
      <c r="C1599" s="1">
        <v>7</v>
      </c>
      <c r="D1599" s="1">
        <v>0</v>
      </c>
      <c r="E1599" s="1">
        <v>6</v>
      </c>
      <c r="F1599" s="1">
        <v>6</v>
      </c>
      <c r="G1599" s="1">
        <v>0</v>
      </c>
      <c r="H1599" s="1">
        <v>3</v>
      </c>
      <c r="I1599" s="1">
        <v>4</v>
      </c>
      <c r="J1599" s="1">
        <v>3</v>
      </c>
      <c r="K1599" s="1">
        <v>13</v>
      </c>
      <c r="L1599" s="1">
        <v>15</v>
      </c>
      <c r="M1599" s="1">
        <v>11</v>
      </c>
      <c r="N1599" s="1">
        <v>15</v>
      </c>
      <c r="O1599" s="1">
        <v>16</v>
      </c>
      <c r="P1599" s="1">
        <v>6</v>
      </c>
      <c r="Q1599" s="1">
        <v>1</v>
      </c>
      <c r="R1599" s="1">
        <v>6</v>
      </c>
      <c r="S1599" s="1">
        <v>0</v>
      </c>
      <c r="T1599" s="1">
        <v>0</v>
      </c>
      <c r="U1599" s="1">
        <v>0</v>
      </c>
      <c r="V1599" s="1">
        <v>10</v>
      </c>
    </row>
    <row r="1600" spans="1:22" x14ac:dyDescent="0.2">
      <c r="A1600" s="1" t="s">
        <v>1146</v>
      </c>
      <c r="B1600" s="1" t="s">
        <v>1606</v>
      </c>
      <c r="C1600" s="1">
        <v>27</v>
      </c>
      <c r="D1600" s="1">
        <v>23</v>
      </c>
      <c r="E1600" s="1">
        <v>37</v>
      </c>
      <c r="F1600" s="1">
        <v>11</v>
      </c>
      <c r="G1600" s="1">
        <v>28</v>
      </c>
      <c r="H1600" s="1">
        <v>18</v>
      </c>
      <c r="I1600" s="1">
        <v>20</v>
      </c>
      <c r="J1600" s="1">
        <v>20</v>
      </c>
      <c r="K1600" s="1">
        <v>13</v>
      </c>
      <c r="L1600" s="1">
        <v>17</v>
      </c>
      <c r="M1600" s="1">
        <v>14</v>
      </c>
      <c r="N1600" s="1">
        <v>3</v>
      </c>
      <c r="O1600" s="1">
        <v>6</v>
      </c>
      <c r="P1600" s="1">
        <v>7</v>
      </c>
      <c r="Q1600" s="1">
        <v>11</v>
      </c>
      <c r="R1600" s="1">
        <v>10</v>
      </c>
      <c r="S1600" s="1">
        <v>13</v>
      </c>
      <c r="T1600" s="1">
        <v>8</v>
      </c>
      <c r="U1600" s="1">
        <v>18</v>
      </c>
      <c r="V1600" s="1">
        <v>10</v>
      </c>
    </row>
    <row r="1601" spans="1:22" x14ac:dyDescent="0.2">
      <c r="A1601" s="1" t="s">
        <v>1146</v>
      </c>
      <c r="B1601" s="1" t="s">
        <v>1607</v>
      </c>
      <c r="C1601" s="1">
        <v>6</v>
      </c>
      <c r="D1601" s="1">
        <v>2</v>
      </c>
      <c r="E1601" s="1">
        <v>13</v>
      </c>
      <c r="F1601" s="1">
        <v>10</v>
      </c>
      <c r="G1601" s="1">
        <v>12</v>
      </c>
      <c r="H1601" s="1">
        <v>3</v>
      </c>
      <c r="I1601" s="1">
        <v>1</v>
      </c>
      <c r="J1601" s="1">
        <v>2</v>
      </c>
      <c r="K1601" s="1">
        <v>1</v>
      </c>
      <c r="L1601" s="1">
        <v>3</v>
      </c>
      <c r="M1601" s="1">
        <v>0</v>
      </c>
      <c r="N1601" s="1">
        <v>0</v>
      </c>
      <c r="O1601" s="1">
        <v>1</v>
      </c>
      <c r="P1601" s="1">
        <v>0</v>
      </c>
      <c r="Q1601" s="1">
        <v>0</v>
      </c>
      <c r="R1601" s="1">
        <v>0</v>
      </c>
      <c r="S1601" s="1">
        <v>0</v>
      </c>
      <c r="T1601" s="1">
        <v>0</v>
      </c>
      <c r="U1601" s="1">
        <v>0</v>
      </c>
      <c r="V1601" s="1">
        <v>0</v>
      </c>
    </row>
    <row r="1602" spans="1:22" x14ac:dyDescent="0.2">
      <c r="A1602" s="1" t="s">
        <v>1146</v>
      </c>
      <c r="B1602" s="1" t="s">
        <v>1608</v>
      </c>
      <c r="C1602" s="1">
        <v>0</v>
      </c>
      <c r="D1602" s="1">
        <v>0</v>
      </c>
      <c r="E1602" s="1">
        <v>0</v>
      </c>
      <c r="F1602" s="1">
        <v>0</v>
      </c>
      <c r="G1602" s="1">
        <v>0</v>
      </c>
      <c r="H1602" s="1">
        <v>0</v>
      </c>
      <c r="I1602" s="1">
        <v>0</v>
      </c>
      <c r="J1602" s="1">
        <v>0</v>
      </c>
      <c r="K1602" s="1">
        <v>2</v>
      </c>
      <c r="L1602" s="1">
        <v>0</v>
      </c>
      <c r="M1602" s="1">
        <v>0</v>
      </c>
      <c r="N1602" s="1">
        <v>0</v>
      </c>
      <c r="O1602" s="1">
        <v>0</v>
      </c>
      <c r="P1602" s="1">
        <v>3</v>
      </c>
      <c r="Q1602" s="1">
        <v>1</v>
      </c>
      <c r="R1602" s="1">
        <v>1</v>
      </c>
      <c r="S1602" s="1">
        <v>1</v>
      </c>
      <c r="T1602" s="1">
        <v>0</v>
      </c>
      <c r="U1602" s="1">
        <v>0</v>
      </c>
      <c r="V1602" s="1">
        <v>0</v>
      </c>
    </row>
    <row r="1603" spans="1:22" x14ac:dyDescent="0.2">
      <c r="A1603" s="1" t="s">
        <v>1146</v>
      </c>
      <c r="B1603" s="1" t="s">
        <v>1609</v>
      </c>
      <c r="C1603" s="1">
        <v>7</v>
      </c>
      <c r="D1603" s="1">
        <v>11</v>
      </c>
      <c r="E1603" s="1">
        <v>15</v>
      </c>
      <c r="F1603" s="1">
        <v>30</v>
      </c>
      <c r="G1603" s="1">
        <v>62</v>
      </c>
      <c r="H1603" s="1">
        <v>105</v>
      </c>
      <c r="I1603" s="1">
        <v>103</v>
      </c>
      <c r="J1603" s="1">
        <v>108</v>
      </c>
      <c r="K1603" s="1">
        <v>99</v>
      </c>
      <c r="L1603" s="1">
        <v>91</v>
      </c>
      <c r="M1603" s="1">
        <v>97</v>
      </c>
      <c r="N1603" s="1">
        <v>42</v>
      </c>
      <c r="O1603" s="1">
        <v>50</v>
      </c>
      <c r="P1603" s="1">
        <v>23</v>
      </c>
      <c r="Q1603" s="1">
        <v>23</v>
      </c>
      <c r="R1603" s="1">
        <v>14</v>
      </c>
      <c r="S1603" s="1">
        <v>15</v>
      </c>
      <c r="T1603" s="1">
        <v>12</v>
      </c>
      <c r="U1603" s="1">
        <v>12</v>
      </c>
      <c r="V1603" s="1">
        <v>11</v>
      </c>
    </row>
    <row r="1604" spans="1:22" x14ac:dyDescent="0.2">
      <c r="A1604" s="1" t="s">
        <v>1146</v>
      </c>
      <c r="B1604" s="1" t="s">
        <v>1610</v>
      </c>
      <c r="C1604" s="1">
        <v>76</v>
      </c>
      <c r="D1604" s="1">
        <v>93</v>
      </c>
      <c r="E1604" s="1">
        <v>52</v>
      </c>
      <c r="F1604" s="1">
        <v>62</v>
      </c>
      <c r="G1604" s="1">
        <v>46</v>
      </c>
      <c r="H1604" s="1">
        <v>51</v>
      </c>
      <c r="I1604" s="1">
        <v>51</v>
      </c>
      <c r="J1604" s="1">
        <v>66</v>
      </c>
      <c r="K1604" s="1">
        <v>55</v>
      </c>
      <c r="L1604" s="1">
        <v>43</v>
      </c>
      <c r="M1604" s="1">
        <v>30</v>
      </c>
      <c r="N1604" s="1">
        <v>32</v>
      </c>
      <c r="O1604" s="1">
        <v>6</v>
      </c>
      <c r="P1604" s="1">
        <v>20</v>
      </c>
      <c r="Q1604" s="1">
        <v>21</v>
      </c>
      <c r="R1604" s="1">
        <v>17</v>
      </c>
      <c r="S1604" s="1">
        <v>6</v>
      </c>
      <c r="T1604" s="1">
        <v>12</v>
      </c>
      <c r="U1604" s="1">
        <v>8</v>
      </c>
      <c r="V1604" s="1">
        <v>24</v>
      </c>
    </row>
    <row r="1605" spans="1:22" x14ac:dyDescent="0.2">
      <c r="A1605" s="1" t="s">
        <v>1146</v>
      </c>
      <c r="B1605" s="1" t="s">
        <v>1611</v>
      </c>
      <c r="C1605" s="1">
        <v>0</v>
      </c>
      <c r="D1605" s="1">
        <v>0</v>
      </c>
      <c r="E1605" s="1">
        <v>0</v>
      </c>
      <c r="F1605" s="1">
        <v>0</v>
      </c>
      <c r="G1605" s="1">
        <v>0</v>
      </c>
      <c r="H1605" s="1">
        <v>0</v>
      </c>
      <c r="I1605" s="1">
        <v>0</v>
      </c>
      <c r="J1605" s="1">
        <v>0</v>
      </c>
      <c r="K1605" s="1">
        <v>0</v>
      </c>
      <c r="L1605" s="1">
        <v>0</v>
      </c>
      <c r="M1605" s="1">
        <v>0</v>
      </c>
      <c r="N1605" s="1">
        <v>0</v>
      </c>
      <c r="O1605" s="1">
        <v>0</v>
      </c>
      <c r="P1605" s="1">
        <v>0</v>
      </c>
      <c r="Q1605" s="1">
        <v>0</v>
      </c>
      <c r="R1605" s="1">
        <v>0</v>
      </c>
      <c r="S1605" s="1">
        <v>0</v>
      </c>
      <c r="T1605" s="1">
        <v>0</v>
      </c>
      <c r="U1605" s="1">
        <v>0</v>
      </c>
      <c r="V1605" s="1">
        <v>0</v>
      </c>
    </row>
    <row r="1606" spans="1:22" x14ac:dyDescent="0.2">
      <c r="A1606" s="1" t="s">
        <v>1146</v>
      </c>
      <c r="B1606" s="1" t="s">
        <v>1612</v>
      </c>
      <c r="C1606" s="1">
        <v>0</v>
      </c>
      <c r="D1606" s="1">
        <v>0</v>
      </c>
      <c r="E1606" s="1">
        <v>0</v>
      </c>
      <c r="F1606" s="1">
        <v>0</v>
      </c>
      <c r="G1606" s="1">
        <v>0</v>
      </c>
      <c r="H1606" s="1">
        <v>0</v>
      </c>
      <c r="I1606" s="1">
        <v>0</v>
      </c>
      <c r="J1606" s="1">
        <v>0</v>
      </c>
      <c r="K1606" s="1">
        <v>0</v>
      </c>
      <c r="L1606" s="1">
        <v>0</v>
      </c>
      <c r="M1606" s="1">
        <v>0</v>
      </c>
      <c r="N1606" s="1">
        <v>0</v>
      </c>
      <c r="O1606" s="1">
        <v>0</v>
      </c>
      <c r="P1606" s="1">
        <v>0</v>
      </c>
      <c r="Q1606" s="1">
        <v>0</v>
      </c>
      <c r="R1606" s="1">
        <v>0</v>
      </c>
      <c r="S1606" s="1">
        <v>0</v>
      </c>
      <c r="T1606" s="1">
        <v>0</v>
      </c>
      <c r="U1606" s="1">
        <v>0</v>
      </c>
      <c r="V1606" s="1">
        <v>0</v>
      </c>
    </row>
    <row r="1607" spans="1:22" x14ac:dyDescent="0.2">
      <c r="A1607" s="1" t="s">
        <v>1146</v>
      </c>
      <c r="B1607" s="1" t="s">
        <v>1613</v>
      </c>
      <c r="C1607" s="1">
        <v>0</v>
      </c>
      <c r="D1607" s="1">
        <v>0</v>
      </c>
      <c r="E1607" s="1">
        <v>0</v>
      </c>
      <c r="F1607" s="1">
        <v>0</v>
      </c>
      <c r="G1607" s="1">
        <v>0</v>
      </c>
      <c r="H1607" s="1">
        <v>0</v>
      </c>
      <c r="I1607" s="1">
        <v>0</v>
      </c>
      <c r="J1607" s="1">
        <v>0</v>
      </c>
      <c r="K1607" s="1">
        <v>0</v>
      </c>
      <c r="L1607" s="1">
        <v>0</v>
      </c>
      <c r="M1607" s="1">
        <v>0</v>
      </c>
      <c r="N1607" s="1">
        <v>0</v>
      </c>
      <c r="O1607" s="1">
        <v>0</v>
      </c>
      <c r="P1607" s="1">
        <v>0</v>
      </c>
      <c r="Q1607" s="1">
        <v>0</v>
      </c>
      <c r="R1607" s="1">
        <v>0</v>
      </c>
      <c r="S1607" s="1">
        <v>0</v>
      </c>
      <c r="T1607" s="1">
        <v>0</v>
      </c>
      <c r="U1607" s="1">
        <v>0</v>
      </c>
      <c r="V1607" s="1">
        <v>0</v>
      </c>
    </row>
    <row r="1608" spans="1:22" x14ac:dyDescent="0.2">
      <c r="A1608" s="1" t="s">
        <v>1146</v>
      </c>
      <c r="B1608" s="1" t="s">
        <v>1614</v>
      </c>
      <c r="C1608" s="1">
        <v>0</v>
      </c>
      <c r="D1608" s="1">
        <v>0</v>
      </c>
      <c r="E1608" s="1">
        <v>0</v>
      </c>
      <c r="F1608" s="1">
        <v>0</v>
      </c>
      <c r="G1608" s="1">
        <v>0</v>
      </c>
      <c r="H1608" s="1">
        <v>0</v>
      </c>
      <c r="I1608" s="1">
        <v>0</v>
      </c>
      <c r="J1608" s="1">
        <v>0</v>
      </c>
      <c r="K1608" s="1">
        <v>0</v>
      </c>
      <c r="L1608" s="1">
        <v>0</v>
      </c>
      <c r="M1608" s="1">
        <v>0</v>
      </c>
      <c r="N1608" s="1">
        <v>0</v>
      </c>
      <c r="O1608" s="1">
        <v>0</v>
      </c>
      <c r="P1608" s="1">
        <v>0</v>
      </c>
      <c r="Q1608" s="1">
        <v>0</v>
      </c>
      <c r="R1608" s="1">
        <v>0</v>
      </c>
      <c r="S1608" s="1">
        <v>0</v>
      </c>
      <c r="T1608" s="1">
        <v>0</v>
      </c>
      <c r="U1608" s="1">
        <v>0</v>
      </c>
      <c r="V1608" s="1">
        <v>0</v>
      </c>
    </row>
    <row r="1609" spans="1:22" x14ac:dyDescent="0.2">
      <c r="A1609" s="1" t="s">
        <v>1146</v>
      </c>
      <c r="B1609" s="1" t="s">
        <v>1615</v>
      </c>
      <c r="C1609" s="1">
        <v>71</v>
      </c>
      <c r="D1609" s="1">
        <v>115</v>
      </c>
      <c r="E1609" s="1">
        <v>161</v>
      </c>
      <c r="F1609" s="1">
        <v>171</v>
      </c>
      <c r="G1609" s="1">
        <v>133</v>
      </c>
      <c r="H1609" s="1">
        <v>128</v>
      </c>
      <c r="I1609" s="1">
        <v>70</v>
      </c>
      <c r="J1609" s="1">
        <v>262</v>
      </c>
      <c r="K1609" s="1">
        <v>233</v>
      </c>
      <c r="L1609" s="1">
        <v>799</v>
      </c>
      <c r="M1609" s="1">
        <v>644</v>
      </c>
      <c r="N1609" s="1">
        <v>761</v>
      </c>
      <c r="O1609" s="1">
        <v>923</v>
      </c>
      <c r="P1609" s="1">
        <v>854</v>
      </c>
      <c r="Q1609" s="1">
        <v>715</v>
      </c>
      <c r="R1609" s="1">
        <v>472</v>
      </c>
      <c r="S1609" s="1">
        <v>959</v>
      </c>
      <c r="T1609" s="1">
        <v>1058</v>
      </c>
      <c r="U1609" s="1">
        <v>1133</v>
      </c>
      <c r="V1609" s="1">
        <v>1343</v>
      </c>
    </row>
    <row r="1610" spans="1:22" x14ac:dyDescent="0.2">
      <c r="A1610" s="1" t="s">
        <v>1146</v>
      </c>
      <c r="B1610" s="1" t="s">
        <v>1616</v>
      </c>
      <c r="C1610" s="1">
        <f>SUM(C1611:C1619)</f>
        <v>3553</v>
      </c>
      <c r="D1610" s="1">
        <f t="shared" ref="D1610:U1610" si="264">SUM(D1611:D1619)</f>
        <v>3318</v>
      </c>
      <c r="E1610" s="1">
        <f t="shared" si="264"/>
        <v>3694</v>
      </c>
      <c r="F1610" s="1">
        <f t="shared" si="264"/>
        <v>3369</v>
      </c>
      <c r="G1610" s="1">
        <f t="shared" si="264"/>
        <v>3388</v>
      </c>
      <c r="H1610" s="1">
        <f t="shared" si="264"/>
        <v>4195</v>
      </c>
      <c r="I1610" s="1">
        <f t="shared" si="264"/>
        <v>4003</v>
      </c>
      <c r="J1610" s="1">
        <f t="shared" si="264"/>
        <v>5292</v>
      </c>
      <c r="K1610" s="1">
        <f t="shared" si="264"/>
        <v>8258</v>
      </c>
      <c r="L1610" s="1">
        <f t="shared" si="264"/>
        <v>9258</v>
      </c>
      <c r="M1610" s="1">
        <f t="shared" si="264"/>
        <v>9703</v>
      </c>
      <c r="N1610" s="1">
        <f t="shared" si="264"/>
        <v>9030</v>
      </c>
      <c r="O1610" s="1">
        <f t="shared" si="264"/>
        <v>4586</v>
      </c>
      <c r="P1610" s="1">
        <f t="shared" si="264"/>
        <v>4577</v>
      </c>
      <c r="Q1610" s="1">
        <f t="shared" si="264"/>
        <v>5433</v>
      </c>
      <c r="R1610" s="1">
        <f t="shared" si="264"/>
        <v>5832</v>
      </c>
      <c r="S1610" s="1">
        <f t="shared" si="264"/>
        <v>6881</v>
      </c>
      <c r="T1610" s="1">
        <f t="shared" si="264"/>
        <v>7784</v>
      </c>
      <c r="U1610" s="1">
        <f t="shared" si="264"/>
        <v>8121</v>
      </c>
      <c r="V1610" s="1">
        <f>SUM(V1611:V1619)</f>
        <v>9712</v>
      </c>
    </row>
    <row r="1611" spans="1:22" x14ac:dyDescent="0.2">
      <c r="A1611" s="1" t="s">
        <v>1146</v>
      </c>
      <c r="B1611" s="1" t="s">
        <v>1617</v>
      </c>
      <c r="C1611" s="1">
        <v>1235</v>
      </c>
      <c r="D1611" s="1">
        <v>1148</v>
      </c>
      <c r="E1611" s="1">
        <v>1124</v>
      </c>
      <c r="F1611" s="1">
        <v>1070</v>
      </c>
      <c r="G1611" s="1">
        <v>1016</v>
      </c>
      <c r="H1611" s="1">
        <v>1135</v>
      </c>
      <c r="I1611" s="1">
        <v>837</v>
      </c>
      <c r="J1611" s="1">
        <v>636</v>
      </c>
      <c r="K1611" s="1">
        <v>628</v>
      </c>
      <c r="L1611" s="1">
        <v>659</v>
      </c>
      <c r="M1611" s="1">
        <v>758</v>
      </c>
      <c r="N1611" s="1">
        <v>834</v>
      </c>
      <c r="O1611" s="1">
        <v>438</v>
      </c>
      <c r="P1611" s="1">
        <v>570</v>
      </c>
      <c r="Q1611" s="1">
        <v>552</v>
      </c>
      <c r="R1611" s="1">
        <v>657</v>
      </c>
      <c r="S1611" s="1">
        <v>763</v>
      </c>
      <c r="T1611" s="1">
        <v>1047</v>
      </c>
      <c r="U1611" s="1">
        <v>726</v>
      </c>
      <c r="V1611" s="1">
        <v>1157</v>
      </c>
    </row>
    <row r="1612" spans="1:22" x14ac:dyDescent="0.2">
      <c r="A1612" s="1" t="s">
        <v>1146</v>
      </c>
      <c r="B1612" s="1" t="s">
        <v>1618</v>
      </c>
      <c r="C1612" s="1">
        <v>1875</v>
      </c>
      <c r="D1612" s="1">
        <v>1754</v>
      </c>
      <c r="E1612" s="1">
        <v>1918</v>
      </c>
      <c r="F1612" s="1">
        <v>857</v>
      </c>
      <c r="G1612" s="1">
        <v>874</v>
      </c>
      <c r="H1612" s="1">
        <v>1658</v>
      </c>
      <c r="I1612" s="1">
        <v>1702</v>
      </c>
      <c r="J1612" s="1">
        <v>1585</v>
      </c>
      <c r="K1612" s="1">
        <v>1396</v>
      </c>
      <c r="L1612" s="1">
        <v>1860</v>
      </c>
      <c r="M1612" s="1">
        <v>1469</v>
      </c>
      <c r="N1612" s="1">
        <v>1615</v>
      </c>
      <c r="O1612" s="1">
        <v>873</v>
      </c>
      <c r="P1612" s="1">
        <v>823</v>
      </c>
      <c r="Q1612" s="1">
        <v>1153</v>
      </c>
      <c r="R1612" s="1">
        <v>1286</v>
      </c>
      <c r="S1612" s="1">
        <v>1318</v>
      </c>
      <c r="T1612" s="1">
        <v>1083</v>
      </c>
      <c r="U1612" s="1">
        <v>1359</v>
      </c>
      <c r="V1612" s="1">
        <v>1288</v>
      </c>
    </row>
    <row r="1613" spans="1:22" x14ac:dyDescent="0.2">
      <c r="A1613" s="1" t="s">
        <v>1146</v>
      </c>
      <c r="B1613" s="1" t="s">
        <v>1619</v>
      </c>
      <c r="C1613" s="1">
        <v>0</v>
      </c>
      <c r="D1613" s="1">
        <v>0</v>
      </c>
      <c r="E1613" s="1">
        <v>0</v>
      </c>
      <c r="F1613" s="1">
        <v>329</v>
      </c>
      <c r="G1613" s="1">
        <v>322</v>
      </c>
      <c r="H1613" s="1">
        <v>323</v>
      </c>
      <c r="I1613" s="1">
        <v>380</v>
      </c>
      <c r="J1613" s="1">
        <v>315</v>
      </c>
      <c r="K1613" s="1">
        <v>304</v>
      </c>
      <c r="L1613" s="1">
        <v>362</v>
      </c>
      <c r="M1613" s="1">
        <v>333</v>
      </c>
      <c r="N1613" s="1">
        <v>341</v>
      </c>
      <c r="O1613" s="1">
        <v>323</v>
      </c>
      <c r="P1613" s="1">
        <v>362</v>
      </c>
      <c r="Q1613" s="1">
        <v>302</v>
      </c>
      <c r="R1613" s="1">
        <v>305</v>
      </c>
      <c r="S1613" s="1">
        <v>326</v>
      </c>
      <c r="T1613" s="1">
        <v>315</v>
      </c>
      <c r="U1613" s="1">
        <v>378</v>
      </c>
      <c r="V1613" s="1">
        <v>382</v>
      </c>
    </row>
    <row r="1614" spans="1:22" x14ac:dyDescent="0.2">
      <c r="A1614" s="1" t="s">
        <v>1146</v>
      </c>
      <c r="B1614" s="1" t="s">
        <v>1620</v>
      </c>
      <c r="C1614" s="1">
        <v>251</v>
      </c>
      <c r="D1614" s="1">
        <v>253</v>
      </c>
      <c r="E1614" s="1">
        <v>377</v>
      </c>
      <c r="F1614" s="1">
        <v>383</v>
      </c>
      <c r="G1614" s="1">
        <v>483</v>
      </c>
      <c r="H1614" s="1">
        <v>355</v>
      </c>
      <c r="I1614" s="1">
        <v>291</v>
      </c>
      <c r="J1614" s="1">
        <v>288</v>
      </c>
      <c r="K1614" s="1">
        <v>226</v>
      </c>
      <c r="L1614" s="1">
        <v>0</v>
      </c>
      <c r="M1614" s="1">
        <v>0</v>
      </c>
      <c r="N1614" s="1">
        <v>0</v>
      </c>
      <c r="O1614" s="1">
        <v>0</v>
      </c>
      <c r="P1614" s="1">
        <v>0</v>
      </c>
      <c r="Q1614" s="1">
        <v>0</v>
      </c>
      <c r="R1614" s="1">
        <v>0</v>
      </c>
      <c r="S1614" s="1">
        <v>0</v>
      </c>
      <c r="T1614" s="1">
        <v>0</v>
      </c>
      <c r="U1614" s="1">
        <v>0</v>
      </c>
      <c r="V1614" s="1">
        <v>0</v>
      </c>
    </row>
    <row r="1615" spans="1:22" x14ac:dyDescent="0.2">
      <c r="A1615" s="1" t="s">
        <v>1146</v>
      </c>
      <c r="B1615" s="1" t="s">
        <v>1621</v>
      </c>
      <c r="C1615" s="1">
        <v>0</v>
      </c>
      <c r="D1615" s="1">
        <v>0</v>
      </c>
      <c r="E1615" s="1">
        <v>0</v>
      </c>
      <c r="F1615" s="1">
        <v>0</v>
      </c>
      <c r="G1615" s="1">
        <v>0</v>
      </c>
      <c r="H1615" s="1">
        <v>0</v>
      </c>
      <c r="I1615" s="1">
        <v>0</v>
      </c>
      <c r="J1615" s="1">
        <v>1384</v>
      </c>
      <c r="K1615" s="1">
        <v>1602</v>
      </c>
      <c r="L1615" s="1">
        <v>2042</v>
      </c>
      <c r="M1615" s="1">
        <v>4001</v>
      </c>
      <c r="N1615" s="1">
        <v>4184</v>
      </c>
      <c r="O1615" s="1">
        <v>2424</v>
      </c>
      <c r="P1615" s="1">
        <v>2216</v>
      </c>
      <c r="Q1615" s="1">
        <v>2806</v>
      </c>
      <c r="R1615" s="1">
        <v>2986</v>
      </c>
      <c r="S1615" s="1">
        <v>3903</v>
      </c>
      <c r="T1615" s="1">
        <v>4585</v>
      </c>
      <c r="U1615" s="1">
        <v>5057</v>
      </c>
      <c r="V1615" s="1">
        <v>6172</v>
      </c>
    </row>
    <row r="1616" spans="1:22" x14ac:dyDescent="0.2">
      <c r="A1616" s="1" t="s">
        <v>1146</v>
      </c>
      <c r="B1616" s="1" t="s">
        <v>1622</v>
      </c>
      <c r="C1616" s="1">
        <v>192</v>
      </c>
      <c r="D1616" s="1">
        <v>163</v>
      </c>
      <c r="E1616" s="1">
        <v>275</v>
      </c>
      <c r="F1616" s="1">
        <v>193</v>
      </c>
      <c r="G1616" s="1">
        <v>155</v>
      </c>
      <c r="H1616" s="1">
        <v>149</v>
      </c>
      <c r="I1616" s="1">
        <v>222</v>
      </c>
      <c r="J1616" s="1">
        <v>492</v>
      </c>
      <c r="K1616" s="1">
        <v>2822</v>
      </c>
      <c r="L1616" s="1">
        <v>3282</v>
      </c>
      <c r="M1616" s="1">
        <v>2070</v>
      </c>
      <c r="N1616" s="1">
        <v>938</v>
      </c>
      <c r="O1616" s="1">
        <v>0</v>
      </c>
      <c r="P1616" s="1">
        <v>3</v>
      </c>
      <c r="Q1616" s="1">
        <v>1</v>
      </c>
      <c r="R1616" s="1">
        <v>0</v>
      </c>
      <c r="S1616" s="1">
        <v>0</v>
      </c>
      <c r="T1616" s="1">
        <v>0</v>
      </c>
      <c r="U1616" s="1">
        <v>0</v>
      </c>
      <c r="V1616" s="1">
        <v>0</v>
      </c>
    </row>
    <row r="1617" spans="1:25" x14ac:dyDescent="0.2">
      <c r="A1617" s="1" t="s">
        <v>1146</v>
      </c>
      <c r="B1617" s="1" t="s">
        <v>1623</v>
      </c>
      <c r="C1617" s="1">
        <v>0</v>
      </c>
      <c r="D1617" s="1">
        <v>0</v>
      </c>
      <c r="E1617" s="1">
        <v>0</v>
      </c>
      <c r="F1617" s="1">
        <v>0</v>
      </c>
      <c r="G1617" s="1">
        <v>0</v>
      </c>
      <c r="H1617" s="1">
        <v>0</v>
      </c>
      <c r="I1617" s="1">
        <v>0</v>
      </c>
      <c r="J1617" s="1">
        <v>0</v>
      </c>
      <c r="K1617" s="1">
        <v>589</v>
      </c>
      <c r="L1617" s="1">
        <v>508</v>
      </c>
      <c r="M1617" s="1">
        <v>449</v>
      </c>
      <c r="N1617" s="1">
        <v>551</v>
      </c>
      <c r="O1617" s="1">
        <v>33</v>
      </c>
      <c r="P1617" s="1">
        <v>30</v>
      </c>
      <c r="Q1617" s="1">
        <v>38</v>
      </c>
      <c r="R1617" s="1">
        <v>45</v>
      </c>
      <c r="S1617" s="1">
        <v>61</v>
      </c>
      <c r="T1617" s="1">
        <v>116</v>
      </c>
      <c r="U1617" s="1">
        <v>66</v>
      </c>
      <c r="V1617" s="1">
        <v>31</v>
      </c>
    </row>
    <row r="1618" spans="1:25" x14ac:dyDescent="0.2">
      <c r="A1618" s="1" t="s">
        <v>1146</v>
      </c>
      <c r="B1618" s="1" t="s">
        <v>1624</v>
      </c>
      <c r="C1618" s="1">
        <v>0</v>
      </c>
      <c r="D1618" s="1">
        <v>0</v>
      </c>
      <c r="E1618" s="1">
        <v>0</v>
      </c>
      <c r="F1618" s="1">
        <v>0</v>
      </c>
      <c r="G1618" s="1">
        <v>0</v>
      </c>
      <c r="H1618" s="1">
        <v>0</v>
      </c>
      <c r="I1618" s="1">
        <v>0</v>
      </c>
      <c r="J1618" s="1">
        <v>0</v>
      </c>
      <c r="K1618" s="1">
        <v>0</v>
      </c>
      <c r="L1618" s="1">
        <v>0</v>
      </c>
      <c r="M1618" s="1">
        <v>0</v>
      </c>
      <c r="N1618" s="1">
        <v>0</v>
      </c>
      <c r="O1618" s="1">
        <v>0</v>
      </c>
      <c r="P1618" s="1">
        <v>3</v>
      </c>
      <c r="Q1618" s="1">
        <v>3</v>
      </c>
      <c r="R1618" s="1">
        <v>4</v>
      </c>
      <c r="S1618" s="1">
        <v>6</v>
      </c>
      <c r="T1618" s="1">
        <v>5</v>
      </c>
      <c r="U1618" s="1">
        <v>3</v>
      </c>
      <c r="V1618" s="1">
        <v>6</v>
      </c>
    </row>
    <row r="1619" spans="1:25" x14ac:dyDescent="0.2">
      <c r="A1619" s="1" t="s">
        <v>1146</v>
      </c>
      <c r="B1619" s="1" t="s">
        <v>1625</v>
      </c>
      <c r="C1619" s="1">
        <v>0</v>
      </c>
      <c r="D1619" s="1">
        <v>0</v>
      </c>
      <c r="E1619" s="1">
        <v>0</v>
      </c>
      <c r="F1619" s="1">
        <v>537</v>
      </c>
      <c r="G1619" s="1">
        <v>538</v>
      </c>
      <c r="H1619" s="1">
        <v>575</v>
      </c>
      <c r="I1619" s="1">
        <v>571</v>
      </c>
      <c r="J1619" s="1">
        <v>592</v>
      </c>
      <c r="K1619" s="1">
        <v>691</v>
      </c>
      <c r="L1619" s="1">
        <v>545</v>
      </c>
      <c r="M1619" s="1">
        <v>623</v>
      </c>
      <c r="N1619" s="1">
        <v>567</v>
      </c>
      <c r="O1619" s="1">
        <v>495</v>
      </c>
      <c r="P1619" s="1">
        <v>570</v>
      </c>
      <c r="Q1619" s="1">
        <v>578</v>
      </c>
      <c r="R1619" s="1">
        <v>549</v>
      </c>
      <c r="S1619" s="1">
        <v>504</v>
      </c>
      <c r="T1619" s="1">
        <v>633</v>
      </c>
      <c r="U1619" s="1">
        <v>532</v>
      </c>
      <c r="V1619" s="1">
        <v>676</v>
      </c>
    </row>
    <row r="1620" spans="1:25" x14ac:dyDescent="0.2">
      <c r="A1620" s="1" t="s">
        <v>1146</v>
      </c>
      <c r="B1620" s="1" t="s">
        <v>1626</v>
      </c>
      <c r="C1620" s="1">
        <v>0</v>
      </c>
      <c r="D1620" s="1">
        <v>0</v>
      </c>
      <c r="E1620" s="1">
        <v>0</v>
      </c>
      <c r="F1620" s="1">
        <v>0</v>
      </c>
      <c r="G1620" s="1">
        <v>0</v>
      </c>
      <c r="H1620" s="1">
        <v>0</v>
      </c>
      <c r="I1620" s="1">
        <v>0</v>
      </c>
      <c r="J1620" s="1">
        <v>665</v>
      </c>
      <c r="K1620" s="1">
        <v>1528</v>
      </c>
      <c r="L1620" s="1">
        <v>1620</v>
      </c>
      <c r="M1620" s="1">
        <v>1443</v>
      </c>
      <c r="N1620" s="1">
        <v>715</v>
      </c>
      <c r="O1620" s="1">
        <v>68</v>
      </c>
      <c r="P1620" s="1">
        <v>433</v>
      </c>
      <c r="Q1620" s="1">
        <v>888</v>
      </c>
      <c r="R1620" s="1">
        <v>722</v>
      </c>
      <c r="S1620" s="1">
        <v>1158</v>
      </c>
      <c r="T1620" s="1">
        <v>95</v>
      </c>
      <c r="U1620" s="1">
        <v>1884</v>
      </c>
      <c r="V1620" s="1">
        <v>2075</v>
      </c>
      <c r="W1620" s="5"/>
      <c r="X1620" s="5"/>
      <c r="Y1620" s="5"/>
    </row>
    <row r="1621" spans="1:25" x14ac:dyDescent="0.2">
      <c r="A1621" s="1" t="s">
        <v>1146</v>
      </c>
      <c r="B1621" s="1" t="s">
        <v>1627</v>
      </c>
      <c r="C1621" s="1">
        <v>770</v>
      </c>
      <c r="D1621" s="1">
        <f>1026</f>
        <v>1026</v>
      </c>
      <c r="E1621" s="1">
        <f>554+633</f>
        <v>1187</v>
      </c>
      <c r="F1621" s="1">
        <f>919+642</f>
        <v>1561</v>
      </c>
      <c r="G1621" s="1">
        <v>1525</v>
      </c>
      <c r="H1621" s="1">
        <f>1316+689</f>
        <v>2005</v>
      </c>
      <c r="I1621" s="1">
        <f>1631+616</f>
        <v>2247</v>
      </c>
      <c r="J1621" s="1">
        <f>517+507</f>
        <v>1024</v>
      </c>
      <c r="K1621" s="1">
        <f>682+531-3</f>
        <v>1210</v>
      </c>
      <c r="L1621" s="1">
        <f>920+452-2</f>
        <v>1370</v>
      </c>
      <c r="M1621" s="1">
        <f>721+422</f>
        <v>1143</v>
      </c>
      <c r="N1621" s="1">
        <f>1090+437-8</f>
        <v>1519</v>
      </c>
      <c r="O1621" s="1">
        <f>77+417</f>
        <v>494</v>
      </c>
      <c r="P1621" s="1">
        <f>-180+404</f>
        <v>224</v>
      </c>
      <c r="Q1621" s="1">
        <f>-176+341</f>
        <v>165</v>
      </c>
      <c r="R1621" s="1">
        <v>190</v>
      </c>
      <c r="S1621" s="1">
        <f>-273+644</f>
        <v>371</v>
      </c>
      <c r="T1621" s="1">
        <f>1571-5</f>
        <v>1566</v>
      </c>
      <c r="U1621" s="1">
        <v>967</v>
      </c>
      <c r="V1621" s="1">
        <v>647</v>
      </c>
      <c r="W1621" s="5"/>
      <c r="X1621" s="5"/>
      <c r="Y1621" s="5"/>
    </row>
    <row r="1622" spans="1:25" x14ac:dyDescent="0.2">
      <c r="B1622" s="1" t="s">
        <v>1628</v>
      </c>
      <c r="C1622" s="1">
        <f t="shared" ref="C1622:V1622" si="265">C1623+C1652+C1661+C1694+C1713+C1721+C1726+C1741+C1783+C1796+C1820+C1824+C1835+C1849+C1867+C1895+C1910+C1918+C1933+C1939+C1955+C1982+C1994+C2002+C2015+C2038+C2090+C1974+C2091+C2101+C2102</f>
        <v>94525</v>
      </c>
      <c r="D1622" s="1">
        <f t="shared" si="265"/>
        <v>101598</v>
      </c>
      <c r="E1622" s="1">
        <f t="shared" si="265"/>
        <v>106350</v>
      </c>
      <c r="F1622" s="1">
        <f t="shared" si="265"/>
        <v>121626</v>
      </c>
      <c r="G1622" s="1">
        <f t="shared" si="265"/>
        <v>128584</v>
      </c>
      <c r="H1622" s="1">
        <f t="shared" si="265"/>
        <v>130358</v>
      </c>
      <c r="I1622" s="1">
        <f t="shared" si="265"/>
        <v>129888</v>
      </c>
      <c r="J1622" s="1">
        <f t="shared" si="265"/>
        <v>145041</v>
      </c>
      <c r="K1622" s="1">
        <f t="shared" si="265"/>
        <v>175653</v>
      </c>
      <c r="L1622" s="1">
        <f t="shared" si="265"/>
        <v>231630</v>
      </c>
      <c r="M1622" s="1">
        <f t="shared" si="265"/>
        <v>235617</v>
      </c>
      <c r="N1622" s="1">
        <f t="shared" si="265"/>
        <v>221121</v>
      </c>
      <c r="O1622" s="1">
        <f t="shared" si="265"/>
        <v>200423</v>
      </c>
      <c r="P1622" s="1">
        <f t="shared" si="265"/>
        <v>199200</v>
      </c>
      <c r="Q1622" s="1">
        <f t="shared" si="265"/>
        <v>205112</v>
      </c>
      <c r="R1622" s="1">
        <f t="shared" si="265"/>
        <v>199829</v>
      </c>
      <c r="S1622" s="1">
        <f t="shared" si="265"/>
        <v>201584</v>
      </c>
      <c r="T1622" s="1">
        <f t="shared" si="265"/>
        <v>210681</v>
      </c>
      <c r="U1622" s="1">
        <f t="shared" si="265"/>
        <v>219444</v>
      </c>
      <c r="V1622" s="1">
        <f t="shared" si="265"/>
        <v>233412</v>
      </c>
    </row>
    <row r="1623" spans="1:25" x14ac:dyDescent="0.2">
      <c r="A1623" s="1" t="s">
        <v>1629</v>
      </c>
      <c r="B1623" s="1" t="s">
        <v>1630</v>
      </c>
      <c r="C1623" s="1">
        <f>SUM(C1624:C1651)</f>
        <v>14143</v>
      </c>
      <c r="D1623" s="1">
        <f>SUM(D1624:D1651)</f>
        <v>13917</v>
      </c>
      <c r="E1623" s="1">
        <f>SUM(E1624:E1651)</f>
        <v>14037</v>
      </c>
      <c r="F1623" s="1">
        <f t="shared" ref="F1623:V1623" si="266">SUM(F1624:F1651)</f>
        <v>15827</v>
      </c>
      <c r="G1623" s="1">
        <f t="shared" si="266"/>
        <v>16174</v>
      </c>
      <c r="H1623" s="1">
        <f t="shared" si="266"/>
        <v>16045</v>
      </c>
      <c r="I1623" s="1">
        <f t="shared" si="266"/>
        <v>15888</v>
      </c>
      <c r="J1623" s="1">
        <f t="shared" si="266"/>
        <v>17370</v>
      </c>
      <c r="K1623" s="1">
        <f t="shared" si="266"/>
        <v>19234</v>
      </c>
      <c r="L1623" s="1">
        <f t="shared" si="266"/>
        <v>21547</v>
      </c>
      <c r="M1623" s="1">
        <f t="shared" si="266"/>
        <v>21718</v>
      </c>
      <c r="N1623" s="1">
        <f t="shared" si="266"/>
        <v>19795</v>
      </c>
      <c r="O1623" s="1">
        <f t="shared" si="266"/>
        <v>21921</v>
      </c>
      <c r="P1623" s="1">
        <f t="shared" si="266"/>
        <v>20649</v>
      </c>
      <c r="Q1623" s="1">
        <f t="shared" si="266"/>
        <v>20598</v>
      </c>
      <c r="R1623" s="1">
        <f t="shared" si="266"/>
        <v>21276</v>
      </c>
      <c r="S1623" s="1">
        <f t="shared" si="266"/>
        <v>22155</v>
      </c>
      <c r="T1623" s="1">
        <f t="shared" si="266"/>
        <v>21484</v>
      </c>
      <c r="U1623" s="1">
        <f t="shared" si="266"/>
        <v>21561</v>
      </c>
      <c r="V1623" s="1">
        <f t="shared" si="266"/>
        <v>20019</v>
      </c>
    </row>
    <row r="1624" spans="1:25" x14ac:dyDescent="0.2">
      <c r="A1624" s="1" t="s">
        <v>1629</v>
      </c>
      <c r="B1624" s="1" t="s">
        <v>1631</v>
      </c>
      <c r="C1624" s="1">
        <v>48</v>
      </c>
      <c r="D1624" s="1">
        <v>55</v>
      </c>
      <c r="E1624" s="1">
        <v>55</v>
      </c>
      <c r="F1624" s="1">
        <v>62</v>
      </c>
      <c r="G1624" s="1">
        <v>51</v>
      </c>
      <c r="H1624" s="1">
        <v>57</v>
      </c>
      <c r="I1624" s="1">
        <v>102</v>
      </c>
      <c r="J1624" s="1">
        <v>76</v>
      </c>
      <c r="K1624" s="1">
        <v>89</v>
      </c>
      <c r="L1624" s="1">
        <v>112</v>
      </c>
      <c r="M1624" s="1">
        <v>106</v>
      </c>
      <c r="N1624" s="1">
        <v>91</v>
      </c>
      <c r="O1624" s="1">
        <v>119</v>
      </c>
      <c r="P1624" s="1">
        <v>158</v>
      </c>
      <c r="Q1624" s="1">
        <v>248</v>
      </c>
      <c r="R1624" s="1">
        <v>81</v>
      </c>
      <c r="S1624" s="1">
        <v>352</v>
      </c>
      <c r="T1624" s="1">
        <v>298</v>
      </c>
      <c r="U1624" s="1">
        <v>416</v>
      </c>
      <c r="V1624" s="1">
        <v>457</v>
      </c>
    </row>
    <row r="1625" spans="1:25" x14ac:dyDescent="0.2">
      <c r="A1625" s="1" t="s">
        <v>1629</v>
      </c>
      <c r="B1625" s="1" t="s">
        <v>1632</v>
      </c>
      <c r="C1625" s="1">
        <v>0</v>
      </c>
      <c r="D1625" s="1">
        <v>0</v>
      </c>
      <c r="E1625" s="1">
        <v>0</v>
      </c>
      <c r="F1625" s="1">
        <v>0</v>
      </c>
      <c r="G1625" s="1">
        <v>8</v>
      </c>
      <c r="H1625" s="1">
        <v>6</v>
      </c>
      <c r="I1625" s="1">
        <v>75</v>
      </c>
      <c r="J1625" s="1">
        <v>8</v>
      </c>
      <c r="K1625" s="1">
        <v>10</v>
      </c>
      <c r="L1625" s="1">
        <v>21</v>
      </c>
      <c r="M1625" s="1">
        <v>55</v>
      </c>
      <c r="N1625" s="1">
        <v>22</v>
      </c>
      <c r="O1625" s="1">
        <v>7</v>
      </c>
      <c r="P1625" s="1">
        <v>12</v>
      </c>
      <c r="Q1625" s="1">
        <v>26</v>
      </c>
      <c r="R1625" s="1">
        <v>2</v>
      </c>
      <c r="S1625" s="1">
        <v>31</v>
      </c>
      <c r="T1625" s="1">
        <v>4</v>
      </c>
      <c r="U1625" s="1">
        <v>14</v>
      </c>
      <c r="V1625" s="1">
        <v>4</v>
      </c>
    </row>
    <row r="1626" spans="1:25" x14ac:dyDescent="0.2">
      <c r="A1626" s="1" t="s">
        <v>1629</v>
      </c>
      <c r="B1626" s="1" t="s">
        <v>1633</v>
      </c>
      <c r="C1626" s="1">
        <v>0</v>
      </c>
      <c r="D1626" s="1">
        <v>1</v>
      </c>
      <c r="E1626" s="1">
        <v>8</v>
      </c>
      <c r="F1626" s="1">
        <v>11</v>
      </c>
      <c r="G1626" s="1">
        <v>0</v>
      </c>
      <c r="H1626" s="1">
        <v>0</v>
      </c>
      <c r="I1626" s="1">
        <v>0</v>
      </c>
      <c r="J1626" s="1">
        <v>1</v>
      </c>
      <c r="K1626" s="1">
        <v>2</v>
      </c>
      <c r="L1626" s="1">
        <v>1</v>
      </c>
      <c r="M1626" s="1">
        <v>1</v>
      </c>
      <c r="N1626" s="1">
        <v>2</v>
      </c>
      <c r="O1626" s="1">
        <v>6</v>
      </c>
      <c r="P1626" s="1">
        <v>4</v>
      </c>
      <c r="Q1626" s="1">
        <v>3</v>
      </c>
      <c r="R1626" s="1">
        <v>1</v>
      </c>
      <c r="S1626" s="1">
        <v>1</v>
      </c>
      <c r="T1626" s="1">
        <v>0</v>
      </c>
      <c r="U1626" s="1">
        <v>0</v>
      </c>
      <c r="V1626" s="1">
        <v>0</v>
      </c>
    </row>
    <row r="1627" spans="1:25" x14ac:dyDescent="0.2">
      <c r="A1627" s="1" t="s">
        <v>1629</v>
      </c>
      <c r="B1627" s="1" t="s">
        <v>1634</v>
      </c>
      <c r="C1627" s="1">
        <v>37</v>
      </c>
      <c r="D1627" s="1">
        <v>45</v>
      </c>
      <c r="E1627" s="1">
        <v>32</v>
      </c>
      <c r="F1627" s="1">
        <v>44</v>
      </c>
      <c r="G1627" s="1">
        <v>46</v>
      </c>
      <c r="H1627" s="1">
        <v>47</v>
      </c>
      <c r="I1627" s="1">
        <v>43</v>
      </c>
      <c r="J1627" s="1">
        <v>31</v>
      </c>
      <c r="K1627" s="1">
        <v>50</v>
      </c>
      <c r="L1627" s="1">
        <v>47</v>
      </c>
      <c r="M1627" s="1">
        <v>19</v>
      </c>
      <c r="N1627" s="1">
        <v>16</v>
      </c>
      <c r="O1627" s="1">
        <v>27</v>
      </c>
      <c r="P1627" s="1">
        <v>20</v>
      </c>
      <c r="Q1627" s="1">
        <v>14</v>
      </c>
      <c r="R1627" s="1">
        <v>11</v>
      </c>
      <c r="S1627" s="1">
        <v>10</v>
      </c>
      <c r="T1627" s="1">
        <v>16</v>
      </c>
      <c r="U1627" s="1">
        <v>17</v>
      </c>
      <c r="V1627" s="1">
        <v>11</v>
      </c>
    </row>
    <row r="1628" spans="1:25" x14ac:dyDescent="0.2">
      <c r="A1628" s="1" t="s">
        <v>1629</v>
      </c>
      <c r="B1628" s="1" t="s">
        <v>1635</v>
      </c>
      <c r="C1628" s="1">
        <v>0</v>
      </c>
      <c r="D1628" s="1">
        <v>0</v>
      </c>
      <c r="E1628" s="1">
        <v>0</v>
      </c>
      <c r="F1628" s="1">
        <v>0</v>
      </c>
      <c r="G1628" s="1">
        <v>0</v>
      </c>
      <c r="H1628" s="1">
        <v>0</v>
      </c>
      <c r="I1628" s="1">
        <v>0</v>
      </c>
      <c r="J1628" s="1">
        <v>0</v>
      </c>
      <c r="K1628" s="1">
        <v>0</v>
      </c>
      <c r="L1628" s="1">
        <v>0</v>
      </c>
      <c r="M1628" s="1">
        <v>4</v>
      </c>
      <c r="N1628" s="1">
        <v>4</v>
      </c>
      <c r="O1628" s="1">
        <v>6</v>
      </c>
      <c r="P1628" s="1">
        <v>1</v>
      </c>
      <c r="Q1628" s="1">
        <v>1</v>
      </c>
      <c r="R1628" s="1">
        <v>4</v>
      </c>
      <c r="S1628" s="1">
        <v>18</v>
      </c>
      <c r="T1628" s="1">
        <v>4</v>
      </c>
      <c r="U1628" s="1">
        <v>6</v>
      </c>
      <c r="V1628" s="1">
        <v>4</v>
      </c>
    </row>
    <row r="1629" spans="1:25" x14ac:dyDescent="0.2">
      <c r="A1629" s="1" t="s">
        <v>1629</v>
      </c>
      <c r="B1629" s="1" t="s">
        <v>1636</v>
      </c>
      <c r="C1629" s="1">
        <v>0</v>
      </c>
      <c r="D1629" s="1">
        <v>0</v>
      </c>
      <c r="E1629" s="1">
        <v>0</v>
      </c>
      <c r="F1629" s="1">
        <v>0</v>
      </c>
      <c r="G1629" s="1">
        <v>0</v>
      </c>
      <c r="H1629" s="1">
        <v>0</v>
      </c>
      <c r="I1629" s="1">
        <v>0</v>
      </c>
      <c r="J1629" s="1">
        <v>0</v>
      </c>
      <c r="K1629" s="1">
        <v>0</v>
      </c>
      <c r="L1629" s="1">
        <v>0</v>
      </c>
      <c r="M1629" s="1">
        <v>2</v>
      </c>
      <c r="N1629" s="1">
        <v>0</v>
      </c>
      <c r="O1629" s="1">
        <v>0</v>
      </c>
      <c r="P1629" s="1">
        <v>1</v>
      </c>
      <c r="Q1629" s="1">
        <v>1</v>
      </c>
      <c r="R1629" s="1">
        <v>0</v>
      </c>
      <c r="S1629" s="1">
        <v>1</v>
      </c>
      <c r="T1629" s="1">
        <v>2</v>
      </c>
      <c r="U1629" s="1">
        <v>2</v>
      </c>
      <c r="V1629" s="1">
        <v>0</v>
      </c>
    </row>
    <row r="1630" spans="1:25" x14ac:dyDescent="0.2">
      <c r="A1630" s="1" t="s">
        <v>1629</v>
      </c>
      <c r="B1630" s="1" t="s">
        <v>1637</v>
      </c>
      <c r="C1630" s="1">
        <v>0</v>
      </c>
      <c r="D1630" s="1">
        <v>0</v>
      </c>
      <c r="E1630" s="1">
        <v>0</v>
      </c>
      <c r="F1630" s="1">
        <v>0</v>
      </c>
      <c r="G1630" s="1">
        <v>0</v>
      </c>
      <c r="H1630" s="1">
        <v>0</v>
      </c>
      <c r="I1630" s="1">
        <v>0</v>
      </c>
      <c r="J1630" s="1">
        <v>0</v>
      </c>
      <c r="K1630" s="1">
        <v>0</v>
      </c>
      <c r="L1630" s="1">
        <v>0</v>
      </c>
      <c r="M1630" s="1">
        <v>5</v>
      </c>
      <c r="N1630" s="1">
        <v>8</v>
      </c>
      <c r="O1630" s="1">
        <v>5</v>
      </c>
      <c r="P1630" s="1">
        <v>2</v>
      </c>
      <c r="Q1630" s="1">
        <v>5</v>
      </c>
      <c r="R1630" s="1">
        <v>6</v>
      </c>
      <c r="S1630" s="1">
        <v>17</v>
      </c>
      <c r="T1630" s="1">
        <v>7</v>
      </c>
      <c r="U1630" s="1">
        <v>7</v>
      </c>
      <c r="V1630" s="1">
        <v>11</v>
      </c>
    </row>
    <row r="1631" spans="1:25" x14ac:dyDescent="0.2">
      <c r="A1631" s="1" t="s">
        <v>1629</v>
      </c>
      <c r="B1631" s="1" t="s">
        <v>1638</v>
      </c>
      <c r="C1631" s="1">
        <v>0</v>
      </c>
      <c r="D1631" s="1">
        <v>0</v>
      </c>
      <c r="E1631" s="1">
        <v>0</v>
      </c>
      <c r="F1631" s="1">
        <v>0</v>
      </c>
      <c r="G1631" s="1">
        <v>0</v>
      </c>
      <c r="H1631" s="1">
        <v>7</v>
      </c>
      <c r="I1631" s="1">
        <v>2</v>
      </c>
      <c r="J1631" s="1">
        <v>4</v>
      </c>
      <c r="K1631" s="1">
        <v>10</v>
      </c>
      <c r="L1631" s="1">
        <v>2</v>
      </c>
      <c r="M1631" s="1">
        <v>1</v>
      </c>
      <c r="N1631" s="1">
        <v>11</v>
      </c>
      <c r="O1631" s="1">
        <v>3</v>
      </c>
      <c r="P1631" s="1">
        <v>9</v>
      </c>
      <c r="Q1631" s="1">
        <v>4</v>
      </c>
      <c r="R1631" s="1">
        <v>11</v>
      </c>
      <c r="S1631" s="1">
        <v>2</v>
      </c>
      <c r="T1631" s="1">
        <v>0</v>
      </c>
      <c r="U1631" s="1">
        <v>0</v>
      </c>
      <c r="V1631" s="1">
        <v>4</v>
      </c>
    </row>
    <row r="1632" spans="1:25" x14ac:dyDescent="0.2">
      <c r="A1632" s="1" t="s">
        <v>1629</v>
      </c>
      <c r="B1632" s="1" t="s">
        <v>1639</v>
      </c>
      <c r="C1632" s="1">
        <v>0</v>
      </c>
      <c r="D1632" s="1">
        <v>0</v>
      </c>
      <c r="E1632" s="1">
        <v>0</v>
      </c>
      <c r="F1632" s="1">
        <v>0</v>
      </c>
      <c r="G1632" s="1">
        <v>0</v>
      </c>
      <c r="H1632" s="1">
        <v>0</v>
      </c>
      <c r="I1632" s="1">
        <v>0</v>
      </c>
      <c r="J1632" s="1">
        <v>0</v>
      </c>
      <c r="K1632" s="1">
        <v>0</v>
      </c>
      <c r="L1632" s="1">
        <v>611</v>
      </c>
      <c r="M1632" s="1">
        <v>772</v>
      </c>
      <c r="N1632" s="1">
        <v>549</v>
      </c>
      <c r="O1632" s="1">
        <v>1159</v>
      </c>
      <c r="P1632" s="1">
        <v>1403</v>
      </c>
      <c r="Q1632" s="1">
        <v>1461</v>
      </c>
      <c r="R1632" s="1">
        <v>1168</v>
      </c>
      <c r="S1632" s="1">
        <v>840</v>
      </c>
      <c r="T1632" s="1">
        <v>194</v>
      </c>
      <c r="U1632" s="1">
        <v>140</v>
      </c>
      <c r="V1632" s="1">
        <v>157</v>
      </c>
    </row>
    <row r="1633" spans="1:22" x14ac:dyDescent="0.2">
      <c r="A1633" s="1" t="s">
        <v>1629</v>
      </c>
      <c r="B1633" s="1" t="s">
        <v>1640</v>
      </c>
      <c r="C1633" s="1">
        <v>5385</v>
      </c>
      <c r="D1633" s="1">
        <v>5522</v>
      </c>
      <c r="E1633" s="1">
        <v>5606</v>
      </c>
      <c r="F1633" s="1">
        <v>6084</v>
      </c>
      <c r="G1633" s="1">
        <v>6531</v>
      </c>
      <c r="H1633" s="1">
        <v>6052</v>
      </c>
      <c r="I1633" s="1">
        <v>5931</v>
      </c>
      <c r="J1633" s="1">
        <v>6429</v>
      </c>
      <c r="K1633" s="1">
        <v>6750</v>
      </c>
      <c r="L1633" s="1">
        <v>6826</v>
      </c>
      <c r="M1633" s="1">
        <v>7181</v>
      </c>
      <c r="N1633" s="1">
        <v>6812</v>
      </c>
      <c r="O1633" s="1">
        <v>7401</v>
      </c>
      <c r="P1633" s="1">
        <v>6818</v>
      </c>
      <c r="Q1633" s="1">
        <v>6425</v>
      </c>
      <c r="R1633" s="1">
        <v>6859</v>
      </c>
      <c r="S1633" s="1">
        <v>6448</v>
      </c>
      <c r="T1633" s="1">
        <v>6534</v>
      </c>
      <c r="U1633" s="1">
        <v>7782</v>
      </c>
      <c r="V1633" s="1">
        <v>6988</v>
      </c>
    </row>
    <row r="1634" spans="1:22" x14ac:dyDescent="0.2">
      <c r="A1634" s="1" t="s">
        <v>1629</v>
      </c>
      <c r="B1634" s="1" t="s">
        <v>1641</v>
      </c>
      <c r="C1634" s="1">
        <v>2</v>
      </c>
      <c r="D1634" s="1">
        <v>2</v>
      </c>
      <c r="E1634" s="1">
        <v>3</v>
      </c>
      <c r="F1634" s="1">
        <v>8</v>
      </c>
      <c r="G1634" s="1">
        <v>6</v>
      </c>
      <c r="H1634" s="1">
        <v>5</v>
      </c>
      <c r="I1634" s="1">
        <v>9</v>
      </c>
      <c r="J1634" s="1">
        <v>1</v>
      </c>
      <c r="K1634" s="1">
        <v>6</v>
      </c>
      <c r="L1634" s="1">
        <v>8</v>
      </c>
      <c r="M1634" s="1">
        <v>11</v>
      </c>
      <c r="N1634" s="1">
        <v>10</v>
      </c>
      <c r="O1634" s="1">
        <v>11</v>
      </c>
      <c r="P1634" s="1">
        <v>14</v>
      </c>
      <c r="Q1634" s="1">
        <v>8</v>
      </c>
      <c r="R1634" s="1">
        <v>14</v>
      </c>
      <c r="S1634" s="1">
        <v>13</v>
      </c>
      <c r="T1634" s="1">
        <v>19</v>
      </c>
      <c r="U1634" s="1">
        <v>6</v>
      </c>
      <c r="V1634" s="1">
        <v>9</v>
      </c>
    </row>
    <row r="1635" spans="1:22" x14ac:dyDescent="0.2">
      <c r="A1635" s="1" t="s">
        <v>1629</v>
      </c>
      <c r="B1635" s="1" t="s">
        <v>1642</v>
      </c>
      <c r="C1635" s="1">
        <v>0</v>
      </c>
      <c r="D1635" s="1">
        <v>0</v>
      </c>
      <c r="E1635" s="1">
        <v>5</v>
      </c>
      <c r="F1635" s="1">
        <v>140</v>
      </c>
      <c r="G1635" s="1">
        <v>247</v>
      </c>
      <c r="H1635" s="1">
        <v>281</v>
      </c>
      <c r="I1635" s="1">
        <v>292</v>
      </c>
      <c r="J1635" s="1">
        <v>272</v>
      </c>
      <c r="K1635" s="1">
        <v>205</v>
      </c>
      <c r="L1635" s="1">
        <v>133</v>
      </c>
      <c r="M1635" s="1">
        <v>91</v>
      </c>
      <c r="N1635" s="1">
        <v>69</v>
      </c>
      <c r="O1635" s="1">
        <v>92</v>
      </c>
      <c r="P1635" s="1">
        <v>55</v>
      </c>
      <c r="Q1635" s="1">
        <v>93</v>
      </c>
      <c r="R1635" s="1">
        <v>86</v>
      </c>
      <c r="S1635" s="1">
        <v>70</v>
      </c>
      <c r="T1635" s="1">
        <v>104</v>
      </c>
      <c r="U1635" s="1">
        <v>69</v>
      </c>
      <c r="V1635" s="1">
        <v>104</v>
      </c>
    </row>
    <row r="1636" spans="1:22" x14ac:dyDescent="0.2">
      <c r="A1636" s="1" t="s">
        <v>1629</v>
      </c>
      <c r="B1636" s="1" t="s">
        <v>1643</v>
      </c>
      <c r="C1636" s="1">
        <v>0</v>
      </c>
      <c r="D1636" s="1">
        <v>0</v>
      </c>
      <c r="E1636" s="1">
        <v>0</v>
      </c>
      <c r="F1636" s="1">
        <v>0</v>
      </c>
      <c r="G1636" s="1">
        <v>0</v>
      </c>
      <c r="H1636" s="1">
        <v>0</v>
      </c>
      <c r="I1636" s="1">
        <v>0</v>
      </c>
      <c r="J1636" s="1">
        <v>0</v>
      </c>
      <c r="K1636" s="1">
        <v>0</v>
      </c>
      <c r="L1636" s="1">
        <v>3</v>
      </c>
      <c r="M1636" s="1">
        <v>13</v>
      </c>
      <c r="N1636" s="1">
        <v>76</v>
      </c>
      <c r="O1636" s="1">
        <v>293</v>
      </c>
      <c r="P1636" s="1">
        <v>40</v>
      </c>
      <c r="Q1636" s="1">
        <v>67</v>
      </c>
      <c r="R1636" s="1">
        <v>0</v>
      </c>
      <c r="S1636" s="1">
        <v>99</v>
      </c>
      <c r="T1636" s="1">
        <v>0</v>
      </c>
      <c r="U1636" s="1">
        <v>0</v>
      </c>
      <c r="V1636" s="1">
        <v>0</v>
      </c>
    </row>
    <row r="1637" spans="1:22" x14ac:dyDescent="0.2">
      <c r="A1637" s="1" t="s">
        <v>1629</v>
      </c>
      <c r="B1637" s="1" t="s">
        <v>1644</v>
      </c>
      <c r="C1637" s="1">
        <v>543</v>
      </c>
      <c r="D1637" s="1">
        <v>581</v>
      </c>
      <c r="E1637" s="1">
        <v>552</v>
      </c>
      <c r="F1637" s="1">
        <v>506</v>
      </c>
      <c r="G1637" s="1">
        <v>527</v>
      </c>
      <c r="H1637" s="1">
        <v>531</v>
      </c>
      <c r="I1637" s="1">
        <v>555</v>
      </c>
      <c r="J1637" s="1">
        <v>574</v>
      </c>
      <c r="K1637" s="1">
        <v>643</v>
      </c>
      <c r="L1637" s="1">
        <v>592</v>
      </c>
      <c r="M1637" s="1">
        <v>512</v>
      </c>
      <c r="N1637" s="1">
        <v>526</v>
      </c>
      <c r="O1637" s="1">
        <v>581</v>
      </c>
      <c r="P1637" s="1">
        <v>580</v>
      </c>
      <c r="Q1637" s="1">
        <v>572</v>
      </c>
      <c r="R1637" s="1">
        <v>594</v>
      </c>
      <c r="S1637" s="1">
        <v>547</v>
      </c>
      <c r="T1637" s="1">
        <v>627</v>
      </c>
      <c r="U1637" s="1">
        <v>597</v>
      </c>
      <c r="V1637" s="1">
        <v>595</v>
      </c>
    </row>
    <row r="1638" spans="1:22" x14ac:dyDescent="0.2">
      <c r="A1638" s="1" t="s">
        <v>1629</v>
      </c>
      <c r="B1638" s="1" t="s">
        <v>1645</v>
      </c>
      <c r="C1638" s="1">
        <v>238</v>
      </c>
      <c r="D1638" s="1">
        <v>256</v>
      </c>
      <c r="E1638" s="1">
        <v>251</v>
      </c>
      <c r="F1638" s="1">
        <v>292</v>
      </c>
      <c r="G1638" s="1">
        <v>265</v>
      </c>
      <c r="H1638" s="1">
        <v>300</v>
      </c>
      <c r="I1638" s="1">
        <v>338</v>
      </c>
      <c r="J1638" s="1">
        <v>357</v>
      </c>
      <c r="K1638" s="1">
        <v>484</v>
      </c>
      <c r="L1638" s="1">
        <v>472</v>
      </c>
      <c r="M1638" s="1">
        <v>486</v>
      </c>
      <c r="N1638" s="1">
        <v>393</v>
      </c>
      <c r="O1638" s="1">
        <v>362</v>
      </c>
      <c r="P1638" s="1">
        <v>374</v>
      </c>
      <c r="Q1638" s="1">
        <v>460</v>
      </c>
      <c r="R1638" s="1">
        <v>503</v>
      </c>
      <c r="S1638" s="1">
        <v>486</v>
      </c>
      <c r="T1638" s="1">
        <v>514</v>
      </c>
      <c r="U1638" s="1">
        <v>491</v>
      </c>
      <c r="V1638" s="1">
        <v>511</v>
      </c>
    </row>
    <row r="1639" spans="1:22" x14ac:dyDescent="0.2">
      <c r="A1639" s="1" t="s">
        <v>1629</v>
      </c>
      <c r="B1639" s="1" t="s">
        <v>1646</v>
      </c>
      <c r="C1639" s="1">
        <v>0</v>
      </c>
      <c r="D1639" s="1">
        <v>0</v>
      </c>
      <c r="E1639" s="1">
        <v>0</v>
      </c>
      <c r="F1639" s="1">
        <v>0</v>
      </c>
      <c r="G1639" s="1">
        <v>0</v>
      </c>
      <c r="H1639" s="1">
        <v>0</v>
      </c>
      <c r="I1639" s="1">
        <v>0</v>
      </c>
      <c r="J1639" s="1">
        <v>0</v>
      </c>
      <c r="K1639" s="1">
        <v>0</v>
      </c>
      <c r="L1639" s="1">
        <v>0</v>
      </c>
      <c r="M1639" s="1">
        <v>0</v>
      </c>
      <c r="N1639" s="1">
        <v>0</v>
      </c>
      <c r="O1639" s="1">
        <v>0</v>
      </c>
      <c r="P1639" s="1">
        <v>70</v>
      </c>
      <c r="Q1639" s="1">
        <v>0</v>
      </c>
      <c r="R1639" s="1">
        <v>0</v>
      </c>
      <c r="S1639" s="1">
        <v>0</v>
      </c>
      <c r="T1639" s="1">
        <v>0</v>
      </c>
      <c r="U1639" s="1">
        <v>0</v>
      </c>
      <c r="V1639" s="1">
        <v>103</v>
      </c>
    </row>
    <row r="1640" spans="1:22" x14ac:dyDescent="0.2">
      <c r="A1640" s="1" t="s">
        <v>1629</v>
      </c>
      <c r="B1640" s="1" t="s">
        <v>1647</v>
      </c>
      <c r="C1640" s="1">
        <v>0</v>
      </c>
      <c r="D1640" s="1">
        <v>0</v>
      </c>
      <c r="E1640" s="1">
        <v>0</v>
      </c>
      <c r="F1640" s="1">
        <v>0</v>
      </c>
      <c r="G1640" s="1">
        <v>0</v>
      </c>
      <c r="H1640" s="1">
        <v>0</v>
      </c>
      <c r="I1640" s="1">
        <v>0</v>
      </c>
      <c r="J1640" s="1">
        <v>4</v>
      </c>
      <c r="K1640" s="1">
        <v>11</v>
      </c>
      <c r="L1640" s="1">
        <v>0</v>
      </c>
      <c r="M1640" s="1">
        <v>0</v>
      </c>
      <c r="N1640" s="1">
        <v>0</v>
      </c>
      <c r="O1640" s="1">
        <v>1</v>
      </c>
      <c r="P1640" s="1">
        <v>0</v>
      </c>
      <c r="Q1640" s="1">
        <v>0</v>
      </c>
      <c r="R1640" s="1">
        <v>0</v>
      </c>
      <c r="S1640" s="1">
        <v>0</v>
      </c>
      <c r="T1640" s="1">
        <v>0</v>
      </c>
      <c r="U1640" s="1">
        <v>0</v>
      </c>
      <c r="V1640" s="1">
        <v>0</v>
      </c>
    </row>
    <row r="1641" spans="1:22" x14ac:dyDescent="0.2">
      <c r="A1641" s="1" t="s">
        <v>1629</v>
      </c>
      <c r="B1641" s="1" t="s">
        <v>1648</v>
      </c>
      <c r="C1641" s="1">
        <v>211</v>
      </c>
      <c r="D1641" s="1">
        <v>218</v>
      </c>
      <c r="E1641" s="1">
        <v>264</v>
      </c>
      <c r="F1641" s="1">
        <v>213</v>
      </c>
      <c r="G1641" s="1">
        <v>221</v>
      </c>
      <c r="H1641" s="1">
        <v>208</v>
      </c>
      <c r="I1641" s="1">
        <v>260</v>
      </c>
      <c r="J1641" s="1">
        <v>285</v>
      </c>
      <c r="K1641" s="1">
        <v>389</v>
      </c>
      <c r="L1641" s="1">
        <v>542</v>
      </c>
      <c r="M1641" s="1">
        <v>544</v>
      </c>
      <c r="N1641" s="1">
        <v>487</v>
      </c>
      <c r="O1641" s="1">
        <v>450</v>
      </c>
      <c r="P1641" s="1">
        <v>469</v>
      </c>
      <c r="Q1641" s="1">
        <v>545</v>
      </c>
      <c r="R1641" s="1">
        <v>681</v>
      </c>
      <c r="S1641" s="1">
        <v>591</v>
      </c>
      <c r="T1641" s="1">
        <v>598</v>
      </c>
      <c r="U1641" s="1">
        <v>1106</v>
      </c>
      <c r="V1641" s="1">
        <v>615</v>
      </c>
    </row>
    <row r="1642" spans="1:22" x14ac:dyDescent="0.2">
      <c r="A1642" s="1" t="s">
        <v>1629</v>
      </c>
      <c r="B1642" s="1" t="s">
        <v>1649</v>
      </c>
      <c r="C1642" s="1">
        <v>0</v>
      </c>
      <c r="D1642" s="1">
        <v>0</v>
      </c>
      <c r="E1642" s="1">
        <v>0</v>
      </c>
      <c r="F1642" s="1">
        <v>0</v>
      </c>
      <c r="G1642" s="1">
        <v>0</v>
      </c>
      <c r="H1642" s="1">
        <v>0</v>
      </c>
      <c r="I1642" s="1">
        <v>0</v>
      </c>
      <c r="J1642" s="1">
        <v>0</v>
      </c>
      <c r="K1642" s="1">
        <v>0</v>
      </c>
      <c r="L1642" s="1">
        <v>0</v>
      </c>
      <c r="M1642" s="1">
        <v>0</v>
      </c>
      <c r="N1642" s="1">
        <v>0</v>
      </c>
      <c r="O1642" s="1">
        <v>0</v>
      </c>
      <c r="P1642" s="1">
        <v>0</v>
      </c>
      <c r="Q1642" s="1">
        <v>26</v>
      </c>
      <c r="R1642" s="1">
        <v>27</v>
      </c>
      <c r="S1642" s="1">
        <v>2</v>
      </c>
      <c r="T1642" s="1">
        <v>1</v>
      </c>
      <c r="U1642" s="1">
        <v>2</v>
      </c>
      <c r="V1642" s="1">
        <v>2</v>
      </c>
    </row>
    <row r="1643" spans="1:22" x14ac:dyDescent="0.2">
      <c r="A1643" s="1" t="s">
        <v>1629</v>
      </c>
      <c r="B1643" s="1" t="s">
        <v>1650</v>
      </c>
      <c r="C1643" s="1">
        <v>0</v>
      </c>
      <c r="D1643" s="1">
        <v>0</v>
      </c>
      <c r="E1643" s="1">
        <v>0</v>
      </c>
      <c r="F1643" s="1">
        <v>0</v>
      </c>
      <c r="G1643" s="1">
        <v>0</v>
      </c>
      <c r="H1643" s="1">
        <v>0</v>
      </c>
      <c r="I1643" s="1">
        <v>0</v>
      </c>
      <c r="J1643" s="1">
        <v>0</v>
      </c>
      <c r="K1643" s="1">
        <v>0</v>
      </c>
      <c r="L1643" s="1">
        <v>1</v>
      </c>
      <c r="M1643" s="1">
        <v>13</v>
      </c>
      <c r="N1643" s="1">
        <v>2</v>
      </c>
      <c r="O1643" s="1">
        <v>0</v>
      </c>
      <c r="P1643" s="1">
        <v>2</v>
      </c>
      <c r="Q1643" s="1">
        <v>2</v>
      </c>
      <c r="R1643" s="1">
        <v>1</v>
      </c>
      <c r="S1643" s="1">
        <v>1</v>
      </c>
      <c r="T1643" s="1">
        <v>1</v>
      </c>
      <c r="U1643" s="1">
        <v>1</v>
      </c>
      <c r="V1643" s="1">
        <v>1</v>
      </c>
    </row>
    <row r="1644" spans="1:22" x14ac:dyDescent="0.2">
      <c r="A1644" s="1" t="s">
        <v>1629</v>
      </c>
      <c r="B1644" s="1" t="s">
        <v>1651</v>
      </c>
      <c r="C1644" s="1">
        <v>6153</v>
      </c>
      <c r="D1644" s="1">
        <v>5895</v>
      </c>
      <c r="E1644" s="1">
        <v>5643</v>
      </c>
      <c r="F1644" s="1">
        <v>5980</v>
      </c>
      <c r="G1644" s="1">
        <v>5705</v>
      </c>
      <c r="H1644" s="1">
        <v>5837</v>
      </c>
      <c r="I1644" s="1">
        <v>5733</v>
      </c>
      <c r="J1644" s="1">
        <v>6405</v>
      </c>
      <c r="K1644" s="1">
        <v>7109</v>
      </c>
      <c r="L1644" s="1">
        <v>7958</v>
      </c>
      <c r="M1644" s="1">
        <v>7655</v>
      </c>
      <c r="N1644" s="1">
        <v>7195</v>
      </c>
      <c r="O1644" s="1">
        <v>7164</v>
      </c>
      <c r="P1644" s="1">
        <v>7609</v>
      </c>
      <c r="Q1644" s="1">
        <v>7458</v>
      </c>
      <c r="R1644" s="1">
        <v>8067</v>
      </c>
      <c r="S1644" s="1">
        <v>9245</v>
      </c>
      <c r="T1644" s="1">
        <v>10422</v>
      </c>
      <c r="U1644" s="1">
        <v>8810</v>
      </c>
      <c r="V1644" s="1">
        <v>8134</v>
      </c>
    </row>
    <row r="1645" spans="1:22" x14ac:dyDescent="0.2">
      <c r="A1645" s="1" t="s">
        <v>1629</v>
      </c>
      <c r="B1645" s="1" t="s">
        <v>1652</v>
      </c>
      <c r="C1645" s="1">
        <v>33</v>
      </c>
      <c r="D1645" s="1">
        <v>0</v>
      </c>
      <c r="E1645" s="1">
        <v>141</v>
      </c>
      <c r="F1645" s="1">
        <v>244</v>
      </c>
      <c r="G1645" s="1">
        <v>233</v>
      </c>
      <c r="H1645" s="1">
        <v>249</v>
      </c>
      <c r="I1645" s="1">
        <v>230</v>
      </c>
      <c r="J1645" s="1">
        <v>241</v>
      </c>
      <c r="K1645" s="1">
        <v>259</v>
      </c>
      <c r="L1645" s="1">
        <v>376</v>
      </c>
      <c r="M1645" s="1">
        <v>352</v>
      </c>
      <c r="N1645" s="1">
        <v>363</v>
      </c>
      <c r="O1645" s="1">
        <v>399</v>
      </c>
      <c r="P1645" s="1">
        <v>437</v>
      </c>
      <c r="Q1645" s="1">
        <v>384</v>
      </c>
      <c r="R1645" s="1">
        <v>519</v>
      </c>
      <c r="S1645" s="1">
        <v>558</v>
      </c>
      <c r="T1645" s="1">
        <v>549</v>
      </c>
      <c r="U1645" s="1">
        <v>472</v>
      </c>
      <c r="V1645" s="1">
        <v>589</v>
      </c>
    </row>
    <row r="1646" spans="1:22" x14ac:dyDescent="0.2">
      <c r="A1646" s="1" t="s">
        <v>1629</v>
      </c>
      <c r="B1646" s="1" t="s">
        <v>1653</v>
      </c>
      <c r="C1646" s="1">
        <v>0</v>
      </c>
      <c r="D1646" s="1">
        <v>0</v>
      </c>
      <c r="E1646" s="1">
        <v>0</v>
      </c>
      <c r="F1646" s="1">
        <v>0</v>
      </c>
      <c r="G1646" s="1">
        <v>0</v>
      </c>
      <c r="H1646" s="1">
        <v>0</v>
      </c>
      <c r="I1646" s="1">
        <v>0</v>
      </c>
      <c r="J1646" s="1">
        <v>0</v>
      </c>
      <c r="K1646" s="1">
        <v>0</v>
      </c>
      <c r="L1646" s="1">
        <v>385</v>
      </c>
      <c r="M1646" s="1">
        <v>299</v>
      </c>
      <c r="N1646" s="1">
        <v>292</v>
      </c>
      <c r="O1646" s="1">
        <v>1096</v>
      </c>
      <c r="P1646" s="1">
        <v>247</v>
      </c>
      <c r="Q1646" s="1">
        <v>575</v>
      </c>
      <c r="R1646" s="1">
        <v>468</v>
      </c>
      <c r="S1646" s="1">
        <v>224</v>
      </c>
      <c r="T1646" s="1">
        <v>256</v>
      </c>
      <c r="U1646" s="1">
        <v>260</v>
      </c>
      <c r="V1646" s="1">
        <v>311</v>
      </c>
    </row>
    <row r="1647" spans="1:22" x14ac:dyDescent="0.2">
      <c r="A1647" s="1" t="s">
        <v>1629</v>
      </c>
      <c r="B1647" s="1" t="s">
        <v>1654</v>
      </c>
      <c r="C1647" s="1">
        <v>0</v>
      </c>
      <c r="D1647" s="1">
        <v>0</v>
      </c>
      <c r="E1647" s="1">
        <v>0</v>
      </c>
      <c r="F1647" s="1">
        <v>0</v>
      </c>
      <c r="G1647" s="1">
        <v>0</v>
      </c>
      <c r="H1647" s="1">
        <v>0</v>
      </c>
      <c r="I1647" s="1">
        <v>0</v>
      </c>
      <c r="J1647" s="1">
        <v>0</v>
      </c>
      <c r="K1647" s="1">
        <v>0</v>
      </c>
      <c r="L1647" s="1">
        <v>0</v>
      </c>
      <c r="M1647" s="1">
        <v>12</v>
      </c>
      <c r="N1647" s="1">
        <v>25</v>
      </c>
      <c r="O1647" s="1">
        <v>12</v>
      </c>
      <c r="P1647" s="1">
        <v>18</v>
      </c>
      <c r="Q1647" s="1">
        <v>16</v>
      </c>
      <c r="R1647" s="1">
        <v>22</v>
      </c>
      <c r="S1647" s="1">
        <v>17</v>
      </c>
      <c r="T1647" s="1">
        <v>16</v>
      </c>
      <c r="U1647" s="1">
        <v>22</v>
      </c>
      <c r="V1647" s="1">
        <v>22</v>
      </c>
    </row>
    <row r="1648" spans="1:22" x14ac:dyDescent="0.2">
      <c r="A1648" s="1" t="s">
        <v>1629</v>
      </c>
      <c r="B1648" s="1" t="s">
        <v>1655</v>
      </c>
      <c r="C1648" s="1">
        <v>1492</v>
      </c>
      <c r="D1648" s="1">
        <v>1340</v>
      </c>
      <c r="E1648" s="1">
        <v>1470</v>
      </c>
      <c r="F1648" s="1">
        <v>2241</v>
      </c>
      <c r="G1648" s="1">
        <v>2330</v>
      </c>
      <c r="H1648" s="1">
        <v>2464</v>
      </c>
      <c r="I1648" s="1">
        <v>2315</v>
      </c>
      <c r="J1648" s="1">
        <v>2674</v>
      </c>
      <c r="K1648" s="1">
        <v>3214</v>
      </c>
      <c r="L1648" s="1">
        <v>3452</v>
      </c>
      <c r="M1648" s="1">
        <v>3581</v>
      </c>
      <c r="N1648" s="1">
        <v>2840</v>
      </c>
      <c r="O1648" s="1">
        <v>2724</v>
      </c>
      <c r="P1648" s="1">
        <v>2304</v>
      </c>
      <c r="Q1648" s="1">
        <v>2161</v>
      </c>
      <c r="R1648" s="1">
        <v>2118</v>
      </c>
      <c r="S1648" s="1">
        <v>2538</v>
      </c>
      <c r="T1648" s="1">
        <v>1245</v>
      </c>
      <c r="U1648" s="1">
        <v>1285</v>
      </c>
      <c r="V1648" s="1">
        <v>1316</v>
      </c>
    </row>
    <row r="1649" spans="1:22" x14ac:dyDescent="0.2">
      <c r="A1649" s="1" t="s">
        <v>1629</v>
      </c>
      <c r="B1649" s="1" t="s">
        <v>1656</v>
      </c>
      <c r="C1649" s="1">
        <v>0</v>
      </c>
      <c r="D1649" s="1">
        <v>0</v>
      </c>
      <c r="E1649" s="1">
        <v>0</v>
      </c>
      <c r="F1649" s="1">
        <v>0</v>
      </c>
      <c r="G1649" s="1">
        <v>0</v>
      </c>
      <c r="H1649" s="1">
        <v>0</v>
      </c>
      <c r="I1649" s="1">
        <v>0</v>
      </c>
      <c r="J1649" s="1">
        <v>0</v>
      </c>
      <c r="K1649" s="1">
        <v>0</v>
      </c>
      <c r="L1649" s="1">
        <v>0</v>
      </c>
      <c r="M1649" s="1">
        <v>0</v>
      </c>
      <c r="N1649" s="1">
        <v>0</v>
      </c>
      <c r="O1649" s="1">
        <v>0</v>
      </c>
      <c r="P1649" s="1">
        <v>0</v>
      </c>
      <c r="Q1649" s="1">
        <v>39</v>
      </c>
      <c r="R1649" s="1">
        <v>27</v>
      </c>
      <c r="S1649" s="1">
        <v>38</v>
      </c>
      <c r="T1649" s="1">
        <v>61</v>
      </c>
      <c r="U1649" s="1">
        <v>53</v>
      </c>
      <c r="V1649" s="1">
        <v>67</v>
      </c>
    </row>
    <row r="1650" spans="1:22" x14ac:dyDescent="0.2">
      <c r="A1650" s="1" t="s">
        <v>1629</v>
      </c>
      <c r="B1650" s="1" t="s">
        <v>1657</v>
      </c>
      <c r="C1650" s="1">
        <v>1</v>
      </c>
      <c r="D1650" s="1">
        <v>2</v>
      </c>
      <c r="E1650" s="1">
        <v>7</v>
      </c>
      <c r="F1650" s="1">
        <v>2</v>
      </c>
      <c r="G1650" s="1">
        <v>4</v>
      </c>
      <c r="H1650" s="1">
        <v>1</v>
      </c>
      <c r="I1650" s="1">
        <v>3</v>
      </c>
      <c r="J1650" s="1">
        <v>8</v>
      </c>
      <c r="K1650" s="1">
        <v>3</v>
      </c>
      <c r="L1650" s="1">
        <v>5</v>
      </c>
      <c r="M1650" s="1">
        <v>3</v>
      </c>
      <c r="N1650" s="1">
        <v>2</v>
      </c>
      <c r="O1650" s="1">
        <v>2</v>
      </c>
      <c r="P1650" s="1">
        <v>2</v>
      </c>
      <c r="Q1650" s="1">
        <v>3</v>
      </c>
      <c r="R1650" s="1">
        <v>5</v>
      </c>
      <c r="S1650" s="1">
        <v>5</v>
      </c>
      <c r="T1650" s="1">
        <v>7</v>
      </c>
      <c r="U1650" s="1">
        <v>1</v>
      </c>
      <c r="V1650" s="1">
        <v>4</v>
      </c>
    </row>
    <row r="1651" spans="1:22" x14ac:dyDescent="0.2">
      <c r="A1651" s="1" t="s">
        <v>1629</v>
      </c>
      <c r="B1651" s="1" t="s">
        <v>1658</v>
      </c>
      <c r="C1651" s="1">
        <v>0</v>
      </c>
      <c r="D1651" s="1">
        <v>0</v>
      </c>
      <c r="E1651" s="1">
        <v>0</v>
      </c>
      <c r="F1651" s="1">
        <v>0</v>
      </c>
      <c r="G1651" s="1">
        <v>0</v>
      </c>
      <c r="H1651" s="1">
        <v>0</v>
      </c>
      <c r="I1651" s="1">
        <v>0</v>
      </c>
      <c r="J1651" s="1">
        <v>0</v>
      </c>
      <c r="K1651" s="1">
        <v>0</v>
      </c>
      <c r="L1651" s="1">
        <v>0</v>
      </c>
      <c r="M1651" s="1">
        <v>0</v>
      </c>
      <c r="N1651" s="1">
        <v>0</v>
      </c>
      <c r="O1651" s="1">
        <v>1</v>
      </c>
      <c r="P1651" s="1">
        <v>0</v>
      </c>
      <c r="Q1651" s="1">
        <v>1</v>
      </c>
      <c r="R1651" s="1">
        <v>1</v>
      </c>
      <c r="S1651" s="1">
        <v>1</v>
      </c>
      <c r="T1651" s="1">
        <v>5</v>
      </c>
      <c r="U1651" s="1">
        <v>2</v>
      </c>
      <c r="V1651" s="1">
        <v>0</v>
      </c>
    </row>
    <row r="1652" spans="1:22" x14ac:dyDescent="0.2">
      <c r="A1652" s="1" t="s">
        <v>1629</v>
      </c>
      <c r="B1652" s="1" t="s">
        <v>1659</v>
      </c>
      <c r="C1652" s="1">
        <f t="shared" ref="C1652:V1652" si="267">SUM(C1653:C1660)</f>
        <v>701</v>
      </c>
      <c r="D1652" s="1">
        <f t="shared" si="267"/>
        <v>599</v>
      </c>
      <c r="E1652" s="1">
        <f t="shared" si="267"/>
        <v>599</v>
      </c>
      <c r="F1652" s="1">
        <f t="shared" si="267"/>
        <v>646</v>
      </c>
      <c r="G1652" s="1">
        <f t="shared" si="267"/>
        <v>581</v>
      </c>
      <c r="H1652" s="1">
        <f t="shared" si="267"/>
        <v>689</v>
      </c>
      <c r="I1652" s="1">
        <f t="shared" si="267"/>
        <v>617</v>
      </c>
      <c r="J1652" s="1">
        <f t="shared" si="267"/>
        <v>507</v>
      </c>
      <c r="K1652" s="1">
        <f t="shared" si="267"/>
        <v>531</v>
      </c>
      <c r="L1652" s="1">
        <f>SUM(L1653:L1660)</f>
        <v>452</v>
      </c>
      <c r="M1652" s="1">
        <f>SUM(M1653:M1660)</f>
        <v>422</v>
      </c>
      <c r="N1652" s="1">
        <f>SUM(N1653:N1660)</f>
        <v>437</v>
      </c>
      <c r="O1652" s="1">
        <f t="shared" si="267"/>
        <v>417</v>
      </c>
      <c r="P1652" s="1">
        <f t="shared" si="267"/>
        <v>404</v>
      </c>
      <c r="Q1652" s="1">
        <f t="shared" si="267"/>
        <v>341</v>
      </c>
      <c r="R1652" s="1">
        <f t="shared" si="267"/>
        <v>357</v>
      </c>
      <c r="S1652" s="1">
        <f t="shared" si="267"/>
        <v>399</v>
      </c>
      <c r="T1652" s="1">
        <f t="shared" si="267"/>
        <v>309</v>
      </c>
      <c r="U1652" s="1">
        <f t="shared" si="267"/>
        <v>348</v>
      </c>
      <c r="V1652" s="1">
        <f t="shared" si="267"/>
        <v>55</v>
      </c>
    </row>
    <row r="1653" spans="1:22" x14ac:dyDescent="0.2">
      <c r="A1653" s="1" t="s">
        <v>1629</v>
      </c>
      <c r="B1653" s="1" t="s">
        <v>1660</v>
      </c>
      <c r="C1653" s="1">
        <v>58</v>
      </c>
      <c r="D1653" s="1">
        <v>52</v>
      </c>
      <c r="E1653" s="1">
        <v>41</v>
      </c>
      <c r="F1653" s="1">
        <v>66</v>
      </c>
      <c r="G1653" s="1">
        <v>56</v>
      </c>
      <c r="H1653" s="1">
        <v>77</v>
      </c>
      <c r="I1653" s="1">
        <v>44</v>
      </c>
      <c r="J1653" s="1">
        <v>19</v>
      </c>
      <c r="K1653" s="1">
        <v>46</v>
      </c>
      <c r="L1653" s="1">
        <v>35</v>
      </c>
      <c r="M1653" s="1">
        <v>51</v>
      </c>
      <c r="N1653" s="1">
        <v>46</v>
      </c>
      <c r="O1653" s="1">
        <v>52</v>
      </c>
      <c r="P1653" s="1">
        <v>68</v>
      </c>
      <c r="Q1653" s="1">
        <v>44</v>
      </c>
      <c r="R1653" s="1">
        <v>47</v>
      </c>
      <c r="S1653" s="1">
        <v>49</v>
      </c>
      <c r="T1653" s="1">
        <v>57</v>
      </c>
      <c r="U1653" s="1">
        <v>47</v>
      </c>
      <c r="V1653" s="1">
        <v>20</v>
      </c>
    </row>
    <row r="1654" spans="1:22" x14ac:dyDescent="0.2">
      <c r="A1654" s="1" t="s">
        <v>1629</v>
      </c>
      <c r="B1654" s="1" t="s">
        <v>1661</v>
      </c>
      <c r="C1654" s="1">
        <v>99</v>
      </c>
      <c r="D1654" s="1">
        <v>78</v>
      </c>
      <c r="E1654" s="1">
        <v>111</v>
      </c>
      <c r="F1654" s="1">
        <v>98</v>
      </c>
      <c r="G1654" s="1">
        <v>55</v>
      </c>
      <c r="H1654" s="1">
        <v>49</v>
      </c>
      <c r="I1654" s="1">
        <v>29</v>
      </c>
      <c r="J1654" s="1">
        <v>15</v>
      </c>
      <c r="K1654" s="1">
        <v>47</v>
      </c>
      <c r="L1654" s="1">
        <v>44</v>
      </c>
      <c r="M1654" s="1">
        <v>63</v>
      </c>
      <c r="N1654" s="1">
        <v>40</v>
      </c>
      <c r="O1654" s="1">
        <v>47</v>
      </c>
      <c r="P1654" s="1">
        <v>51</v>
      </c>
      <c r="Q1654" s="1">
        <v>53</v>
      </c>
      <c r="R1654" s="1">
        <v>48</v>
      </c>
      <c r="S1654" s="1">
        <v>46</v>
      </c>
      <c r="T1654" s="1">
        <v>48</v>
      </c>
      <c r="U1654" s="1">
        <v>76</v>
      </c>
      <c r="V1654" s="1">
        <v>25</v>
      </c>
    </row>
    <row r="1655" spans="1:22" x14ac:dyDescent="0.2">
      <c r="A1655" s="1" t="s">
        <v>1629</v>
      </c>
      <c r="B1655" s="1" t="s">
        <v>1662</v>
      </c>
      <c r="C1655" s="1">
        <v>0</v>
      </c>
      <c r="D1655" s="1">
        <v>0</v>
      </c>
      <c r="E1655" s="1">
        <v>0</v>
      </c>
      <c r="F1655" s="1">
        <v>0</v>
      </c>
      <c r="G1655" s="1">
        <v>0</v>
      </c>
      <c r="H1655" s="1">
        <v>0</v>
      </c>
      <c r="I1655" s="1">
        <v>0</v>
      </c>
      <c r="J1655" s="1">
        <v>0</v>
      </c>
      <c r="K1655" s="1">
        <v>0</v>
      </c>
      <c r="L1655" s="1">
        <v>0</v>
      </c>
      <c r="M1655" s="1">
        <v>1</v>
      </c>
      <c r="N1655" s="1">
        <v>0</v>
      </c>
      <c r="O1655" s="1">
        <v>0</v>
      </c>
      <c r="P1655" s="1">
        <v>0</v>
      </c>
      <c r="Q1655" s="1">
        <v>12</v>
      </c>
      <c r="R1655" s="1">
        <v>0</v>
      </c>
      <c r="S1655" s="1">
        <v>0</v>
      </c>
      <c r="T1655" s="1">
        <v>0</v>
      </c>
      <c r="U1655" s="1">
        <v>0</v>
      </c>
      <c r="V1655" s="1">
        <v>0</v>
      </c>
    </row>
    <row r="1656" spans="1:22" x14ac:dyDescent="0.2">
      <c r="A1656" s="1" t="s">
        <v>1629</v>
      </c>
      <c r="B1656" s="1" t="s">
        <v>1663</v>
      </c>
      <c r="C1656" s="1">
        <v>544</v>
      </c>
      <c r="D1656" s="1">
        <v>469</v>
      </c>
      <c r="E1656" s="1">
        <v>447</v>
      </c>
      <c r="F1656" s="1">
        <v>482</v>
      </c>
      <c r="G1656" s="1">
        <v>470</v>
      </c>
      <c r="H1656" s="1">
        <v>563</v>
      </c>
      <c r="I1656" s="1">
        <v>544</v>
      </c>
      <c r="J1656" s="1">
        <v>473</v>
      </c>
      <c r="K1656" s="1">
        <v>438</v>
      </c>
      <c r="L1656" s="1">
        <v>373</v>
      </c>
      <c r="M1656" s="1">
        <v>306</v>
      </c>
      <c r="N1656" s="1">
        <v>351</v>
      </c>
      <c r="O1656" s="1">
        <v>318</v>
      </c>
      <c r="P1656" s="1">
        <v>277</v>
      </c>
      <c r="Q1656" s="1">
        <v>226</v>
      </c>
      <c r="R1656" s="1">
        <v>262</v>
      </c>
      <c r="S1656" s="1">
        <v>298</v>
      </c>
      <c r="T1656" s="1">
        <f>176+13</f>
        <v>189</v>
      </c>
      <c r="U1656" s="1">
        <f>165+55</f>
        <v>220</v>
      </c>
      <c r="V1656" s="1">
        <v>6</v>
      </c>
    </row>
    <row r="1657" spans="1:22" x14ac:dyDescent="0.2">
      <c r="A1657" s="1" t="s">
        <v>1629</v>
      </c>
      <c r="B1657" s="1" t="s">
        <v>1664</v>
      </c>
      <c r="C1657" s="1">
        <v>0</v>
      </c>
      <c r="D1657" s="1">
        <v>0</v>
      </c>
      <c r="E1657" s="1">
        <v>0</v>
      </c>
      <c r="F1657" s="1">
        <v>0</v>
      </c>
      <c r="G1657" s="1">
        <v>0</v>
      </c>
      <c r="H1657" s="1">
        <v>0</v>
      </c>
      <c r="I1657" s="1">
        <v>0</v>
      </c>
      <c r="J1657" s="1">
        <v>0</v>
      </c>
      <c r="K1657" s="1">
        <v>0</v>
      </c>
      <c r="L1657" s="1">
        <v>0</v>
      </c>
      <c r="M1657" s="1">
        <v>1</v>
      </c>
      <c r="N1657" s="1">
        <v>0</v>
      </c>
      <c r="O1657" s="1">
        <v>0</v>
      </c>
      <c r="P1657" s="1">
        <v>5</v>
      </c>
      <c r="Q1657" s="1">
        <v>5</v>
      </c>
      <c r="R1657" s="1">
        <v>0</v>
      </c>
      <c r="S1657" s="1">
        <v>4</v>
      </c>
      <c r="T1657" s="1">
        <v>4</v>
      </c>
      <c r="U1657" s="1">
        <v>4</v>
      </c>
      <c r="V1657" s="1">
        <v>2</v>
      </c>
    </row>
    <row r="1658" spans="1:22" x14ac:dyDescent="0.2">
      <c r="A1658" s="1" t="s">
        <v>1629</v>
      </c>
      <c r="B1658" s="1" t="s">
        <v>1665</v>
      </c>
      <c r="C1658" s="1">
        <v>0</v>
      </c>
      <c r="D1658" s="1">
        <v>0</v>
      </c>
      <c r="E1658" s="1">
        <v>0</v>
      </c>
      <c r="F1658" s="1">
        <v>0</v>
      </c>
      <c r="G1658" s="1">
        <v>0</v>
      </c>
      <c r="H1658" s="1">
        <v>0</v>
      </c>
      <c r="I1658" s="1">
        <v>0</v>
      </c>
      <c r="J1658" s="1">
        <v>0</v>
      </c>
      <c r="K1658" s="1">
        <v>0</v>
      </c>
      <c r="L1658" s="1">
        <v>0</v>
      </c>
      <c r="M1658" s="1">
        <v>0</v>
      </c>
      <c r="N1658" s="1">
        <v>0</v>
      </c>
      <c r="O1658" s="1">
        <v>0</v>
      </c>
      <c r="P1658" s="1">
        <v>2</v>
      </c>
      <c r="Q1658" s="1">
        <v>1</v>
      </c>
      <c r="R1658" s="1">
        <v>0</v>
      </c>
      <c r="S1658" s="1">
        <v>2</v>
      </c>
      <c r="T1658" s="1">
        <v>5</v>
      </c>
      <c r="U1658" s="1">
        <v>1</v>
      </c>
      <c r="V1658" s="1">
        <v>1</v>
      </c>
    </row>
    <row r="1659" spans="1:22" x14ac:dyDescent="0.2">
      <c r="A1659" s="1" t="s">
        <v>1629</v>
      </c>
      <c r="B1659" s="1" t="s">
        <v>1666</v>
      </c>
      <c r="C1659" s="1">
        <v>0</v>
      </c>
      <c r="D1659" s="1">
        <v>0</v>
      </c>
      <c r="E1659" s="1">
        <v>0</v>
      </c>
      <c r="F1659" s="1">
        <v>0</v>
      </c>
      <c r="G1659" s="1">
        <v>0</v>
      </c>
      <c r="H1659" s="1">
        <v>0</v>
      </c>
      <c r="I1659" s="1">
        <v>0</v>
      </c>
      <c r="J1659" s="1">
        <v>0</v>
      </c>
      <c r="K1659" s="1">
        <v>0</v>
      </c>
      <c r="L1659" s="1">
        <v>0</v>
      </c>
      <c r="M1659" s="1">
        <v>0</v>
      </c>
      <c r="N1659" s="1">
        <v>0</v>
      </c>
      <c r="O1659" s="1">
        <v>0</v>
      </c>
      <c r="P1659" s="1">
        <v>1</v>
      </c>
      <c r="Q1659" s="1">
        <v>0</v>
      </c>
      <c r="R1659" s="1">
        <v>0</v>
      </c>
      <c r="S1659" s="1">
        <v>0</v>
      </c>
      <c r="T1659" s="1">
        <v>6</v>
      </c>
      <c r="U1659" s="1">
        <v>0</v>
      </c>
      <c r="V1659" s="1">
        <v>1</v>
      </c>
    </row>
    <row r="1660" spans="1:22" x14ac:dyDescent="0.2">
      <c r="A1660" s="1" t="s">
        <v>1629</v>
      </c>
      <c r="B1660" s="1" t="s">
        <v>1667</v>
      </c>
      <c r="C1660" s="1">
        <v>0</v>
      </c>
      <c r="D1660" s="1">
        <v>0</v>
      </c>
      <c r="E1660" s="1">
        <v>0</v>
      </c>
      <c r="F1660" s="1">
        <v>0</v>
      </c>
      <c r="G1660" s="1">
        <v>0</v>
      </c>
      <c r="H1660" s="1">
        <v>0</v>
      </c>
      <c r="I1660" s="1">
        <v>0</v>
      </c>
      <c r="J1660" s="1">
        <v>0</v>
      </c>
      <c r="K1660" s="1">
        <v>0</v>
      </c>
      <c r="L1660" s="1">
        <v>0</v>
      </c>
      <c r="M1660" s="1">
        <v>0</v>
      </c>
      <c r="N1660" s="1">
        <v>0</v>
      </c>
      <c r="V1660" s="1">
        <v>0</v>
      </c>
    </row>
    <row r="1661" spans="1:22" x14ac:dyDescent="0.2">
      <c r="A1661" s="1" t="s">
        <v>1629</v>
      </c>
      <c r="B1661" s="1" t="s">
        <v>1668</v>
      </c>
      <c r="C1661" s="1">
        <f t="shared" ref="C1661:K1661" si="268">SUM(C1662:C1693)</f>
        <v>3695</v>
      </c>
      <c r="D1661" s="1">
        <f t="shared" si="268"/>
        <v>4441</v>
      </c>
      <c r="E1661" s="1">
        <f t="shared" si="268"/>
        <v>4644</v>
      </c>
      <c r="F1661" s="1">
        <f t="shared" si="268"/>
        <v>5296</v>
      </c>
      <c r="G1661" s="1">
        <f t="shared" si="268"/>
        <v>5708</v>
      </c>
      <c r="H1661" s="1">
        <f t="shared" si="268"/>
        <v>5178</v>
      </c>
      <c r="I1661" s="1">
        <f t="shared" si="268"/>
        <v>4982</v>
      </c>
      <c r="J1661" s="1">
        <f t="shared" si="268"/>
        <v>5333</v>
      </c>
      <c r="K1661" s="1">
        <f t="shared" si="268"/>
        <v>5643</v>
      </c>
      <c r="L1661" s="1">
        <f>SUM(L1662:L1693)</f>
        <v>6502</v>
      </c>
      <c r="M1661" s="1">
        <f>SUM(M1662:M1693)</f>
        <v>6511</v>
      </c>
      <c r="N1661" s="1">
        <f>SUM(N1662:N1693)</f>
        <v>6503</v>
      </c>
      <c r="O1661" s="1">
        <f>SUM(O1662:O1693)</f>
        <v>7208</v>
      </c>
      <c r="P1661" s="1">
        <f t="shared" ref="P1661:V1661" si="269">SUM(P1662:P1693)</f>
        <v>7279</v>
      </c>
      <c r="Q1661" s="1">
        <f t="shared" si="269"/>
        <v>7303</v>
      </c>
      <c r="R1661" s="1">
        <f t="shared" si="269"/>
        <v>7245</v>
      </c>
      <c r="S1661" s="1">
        <f t="shared" si="269"/>
        <v>7499</v>
      </c>
      <c r="T1661" s="1">
        <f t="shared" si="269"/>
        <v>9213</v>
      </c>
      <c r="U1661" s="1">
        <f t="shared" si="269"/>
        <v>11010</v>
      </c>
      <c r="V1661" s="1">
        <f t="shared" si="269"/>
        <v>13089</v>
      </c>
    </row>
    <row r="1662" spans="1:22" x14ac:dyDescent="0.2">
      <c r="A1662" s="1" t="s">
        <v>1629</v>
      </c>
      <c r="B1662" s="1" t="s">
        <v>1669</v>
      </c>
      <c r="C1662" s="1">
        <v>1434</v>
      </c>
      <c r="D1662" s="1">
        <v>1312</v>
      </c>
      <c r="E1662" s="1">
        <v>729</v>
      </c>
      <c r="F1662" s="1">
        <v>703</v>
      </c>
      <c r="G1662" s="1">
        <v>624</v>
      </c>
      <c r="H1662" s="1">
        <v>0</v>
      </c>
      <c r="I1662" s="1">
        <v>0</v>
      </c>
      <c r="J1662" s="1">
        <v>0</v>
      </c>
      <c r="K1662" s="1">
        <v>0</v>
      </c>
      <c r="L1662" s="1">
        <v>0</v>
      </c>
      <c r="M1662" s="1">
        <v>0</v>
      </c>
      <c r="N1662" s="1">
        <v>0</v>
      </c>
      <c r="V1662" s="1">
        <v>0</v>
      </c>
    </row>
    <row r="1663" spans="1:22" x14ac:dyDescent="0.2">
      <c r="A1663" s="1" t="s">
        <v>1629</v>
      </c>
      <c r="B1663" s="1" t="s">
        <v>1670</v>
      </c>
      <c r="C1663" s="1">
        <v>98</v>
      </c>
      <c r="D1663" s="1">
        <v>10</v>
      </c>
      <c r="E1663" s="1">
        <v>42</v>
      </c>
      <c r="F1663" s="1">
        <v>5</v>
      </c>
      <c r="G1663" s="1">
        <v>7</v>
      </c>
      <c r="H1663" s="1">
        <v>0</v>
      </c>
      <c r="I1663" s="1">
        <v>0</v>
      </c>
      <c r="J1663" s="1">
        <v>0</v>
      </c>
      <c r="K1663" s="1">
        <v>0</v>
      </c>
      <c r="L1663" s="1">
        <v>0</v>
      </c>
      <c r="M1663" s="1">
        <v>0</v>
      </c>
      <c r="N1663" s="1">
        <v>0</v>
      </c>
      <c r="V1663" s="1">
        <v>0</v>
      </c>
    </row>
    <row r="1664" spans="1:22" x14ac:dyDescent="0.2">
      <c r="A1664" s="1" t="s">
        <v>1629</v>
      </c>
      <c r="B1664" s="1" t="s">
        <v>1671</v>
      </c>
      <c r="C1664" s="1">
        <v>54</v>
      </c>
      <c r="D1664" s="1">
        <v>47</v>
      </c>
      <c r="E1664" s="1">
        <v>103</v>
      </c>
      <c r="F1664" s="1">
        <v>148</v>
      </c>
      <c r="G1664" s="1">
        <v>181</v>
      </c>
      <c r="H1664" s="1">
        <v>253</v>
      </c>
      <c r="I1664" s="1">
        <v>315</v>
      </c>
      <c r="J1664" s="1">
        <v>297</v>
      </c>
      <c r="K1664" s="1">
        <v>259</v>
      </c>
      <c r="L1664" s="1">
        <v>361</v>
      </c>
      <c r="M1664" s="1">
        <v>363</v>
      </c>
      <c r="N1664" s="1">
        <v>396</v>
      </c>
      <c r="O1664" s="1">
        <v>467</v>
      </c>
      <c r="P1664" s="1">
        <v>453</v>
      </c>
      <c r="Q1664" s="1">
        <v>359</v>
      </c>
      <c r="R1664" s="1">
        <v>554</v>
      </c>
      <c r="S1664" s="1">
        <v>483</v>
      </c>
      <c r="T1664" s="1">
        <v>635</v>
      </c>
      <c r="U1664" s="1">
        <v>288</v>
      </c>
      <c r="V1664" s="1">
        <v>806</v>
      </c>
    </row>
    <row r="1665" spans="1:22" x14ac:dyDescent="0.2">
      <c r="A1665" s="1" t="s">
        <v>1629</v>
      </c>
      <c r="B1665" s="1" t="s">
        <v>1672</v>
      </c>
      <c r="C1665" s="1">
        <v>0</v>
      </c>
      <c r="D1665" s="1">
        <v>37</v>
      </c>
      <c r="E1665" s="1">
        <v>73</v>
      </c>
      <c r="F1665" s="1">
        <v>83</v>
      </c>
      <c r="G1665" s="1">
        <v>58</v>
      </c>
      <c r="H1665" s="1">
        <v>143</v>
      </c>
      <c r="I1665" s="1">
        <v>112</v>
      </c>
      <c r="J1665" s="1">
        <v>104</v>
      </c>
      <c r="K1665" s="1">
        <v>98</v>
      </c>
      <c r="L1665" s="1">
        <v>127</v>
      </c>
      <c r="M1665" s="1">
        <v>130</v>
      </c>
      <c r="N1665" s="1">
        <v>97</v>
      </c>
      <c r="O1665" s="1">
        <v>72</v>
      </c>
      <c r="P1665" s="1">
        <v>37</v>
      </c>
      <c r="Q1665" s="1">
        <v>64</v>
      </c>
      <c r="R1665" s="1">
        <v>58</v>
      </c>
      <c r="S1665" s="1">
        <v>44</v>
      </c>
      <c r="T1665" s="1">
        <v>20</v>
      </c>
      <c r="U1665" s="1">
        <v>0</v>
      </c>
      <c r="V1665" s="1">
        <v>18</v>
      </c>
    </row>
    <row r="1666" spans="1:22" x14ac:dyDescent="0.2">
      <c r="A1666" s="1" t="s">
        <v>1629</v>
      </c>
      <c r="B1666" s="1" t="s">
        <v>1673</v>
      </c>
      <c r="C1666" s="1">
        <v>39</v>
      </c>
      <c r="D1666" s="1">
        <v>314</v>
      </c>
      <c r="E1666" s="1">
        <v>598</v>
      </c>
      <c r="F1666" s="1">
        <v>350</v>
      </c>
      <c r="G1666" s="1">
        <v>371</v>
      </c>
      <c r="H1666" s="1">
        <v>315</v>
      </c>
      <c r="I1666" s="1">
        <v>526</v>
      </c>
      <c r="J1666" s="1">
        <v>458</v>
      </c>
      <c r="K1666" s="1">
        <v>600</v>
      </c>
      <c r="L1666" s="1">
        <v>448</v>
      </c>
      <c r="M1666" s="1">
        <v>363</v>
      </c>
      <c r="N1666" s="1">
        <v>300</v>
      </c>
      <c r="O1666" s="1">
        <v>332</v>
      </c>
      <c r="P1666" s="1">
        <v>278</v>
      </c>
      <c r="Q1666" s="1">
        <v>319</v>
      </c>
      <c r="R1666" s="1">
        <v>347</v>
      </c>
      <c r="S1666" s="1">
        <v>246</v>
      </c>
      <c r="T1666" s="1">
        <v>89</v>
      </c>
      <c r="U1666" s="1">
        <v>10</v>
      </c>
      <c r="V1666" s="1">
        <v>50</v>
      </c>
    </row>
    <row r="1667" spans="1:22" x14ac:dyDescent="0.2">
      <c r="A1667" s="1" t="s">
        <v>1629</v>
      </c>
      <c r="B1667" s="1" t="s">
        <v>1674</v>
      </c>
      <c r="C1667" s="1">
        <v>90</v>
      </c>
      <c r="D1667" s="1">
        <v>438</v>
      </c>
      <c r="E1667" s="1">
        <v>805</v>
      </c>
      <c r="F1667" s="1">
        <v>1433</v>
      </c>
      <c r="G1667" s="1">
        <v>1708</v>
      </c>
      <c r="H1667" s="1">
        <v>1980</v>
      </c>
      <c r="I1667" s="1">
        <v>1805</v>
      </c>
      <c r="J1667" s="1">
        <v>1909</v>
      </c>
      <c r="K1667" s="1">
        <v>2072</v>
      </c>
      <c r="L1667" s="1">
        <v>2380</v>
      </c>
      <c r="M1667" s="1">
        <v>2739</v>
      </c>
      <c r="N1667" s="1">
        <v>2641</v>
      </c>
      <c r="O1667" s="1">
        <v>3122</v>
      </c>
      <c r="P1667" s="1">
        <v>3038</v>
      </c>
      <c r="Q1667" s="1">
        <v>2884</v>
      </c>
      <c r="R1667" s="1">
        <v>2726</v>
      </c>
      <c r="S1667" s="1">
        <v>2996</v>
      </c>
      <c r="T1667" s="1">
        <v>3649</v>
      </c>
      <c r="U1667" s="1">
        <v>3687</v>
      </c>
      <c r="V1667" s="1">
        <v>4758</v>
      </c>
    </row>
    <row r="1668" spans="1:22" x14ac:dyDescent="0.2">
      <c r="A1668" s="1" t="s">
        <v>1629</v>
      </c>
      <c r="B1668" s="1" t="s">
        <v>1675</v>
      </c>
      <c r="C1668" s="1">
        <v>1</v>
      </c>
      <c r="D1668" s="1">
        <v>0</v>
      </c>
      <c r="E1668" s="1">
        <v>0</v>
      </c>
      <c r="F1668" s="1">
        <v>60</v>
      </c>
      <c r="G1668" s="1">
        <v>0</v>
      </c>
      <c r="H1668" s="1">
        <v>0</v>
      </c>
      <c r="I1668" s="1">
        <v>0</v>
      </c>
      <c r="J1668" s="1">
        <v>0</v>
      </c>
      <c r="K1668" s="1">
        <v>0</v>
      </c>
      <c r="L1668" s="1">
        <v>0</v>
      </c>
      <c r="M1668" s="1">
        <v>0</v>
      </c>
      <c r="N1668" s="1">
        <v>0</v>
      </c>
      <c r="O1668" s="1">
        <v>0</v>
      </c>
      <c r="P1668" s="1">
        <v>0</v>
      </c>
      <c r="Q1668" s="1">
        <v>45</v>
      </c>
      <c r="R1668" s="1">
        <v>38</v>
      </c>
      <c r="S1668" s="1">
        <v>24</v>
      </c>
      <c r="T1668" s="1">
        <v>42</v>
      </c>
      <c r="U1668" s="1">
        <v>38</v>
      </c>
      <c r="V1668" s="1">
        <v>45</v>
      </c>
    </row>
    <row r="1669" spans="1:22" x14ac:dyDescent="0.2">
      <c r="A1669" s="1" t="s">
        <v>1629</v>
      </c>
      <c r="B1669" s="1" t="s">
        <v>1676</v>
      </c>
      <c r="C1669" s="1">
        <v>4</v>
      </c>
      <c r="D1669" s="1">
        <v>0</v>
      </c>
      <c r="E1669" s="1">
        <v>0</v>
      </c>
      <c r="F1669" s="1">
        <v>0</v>
      </c>
      <c r="G1669" s="1">
        <v>0</v>
      </c>
      <c r="H1669" s="1">
        <v>0</v>
      </c>
      <c r="I1669" s="1">
        <v>0</v>
      </c>
      <c r="J1669" s="1">
        <v>0</v>
      </c>
      <c r="K1669" s="1">
        <v>0</v>
      </c>
      <c r="L1669" s="1">
        <v>0</v>
      </c>
      <c r="M1669" s="1">
        <v>0</v>
      </c>
      <c r="N1669" s="1">
        <v>0</v>
      </c>
      <c r="O1669" s="1">
        <v>0</v>
      </c>
      <c r="P1669" s="1">
        <v>0</v>
      </c>
      <c r="Q1669" s="1">
        <v>14</v>
      </c>
      <c r="R1669" s="1">
        <v>0</v>
      </c>
      <c r="S1669" s="1">
        <v>0</v>
      </c>
      <c r="T1669" s="1">
        <v>0</v>
      </c>
      <c r="U1669" s="1">
        <v>0</v>
      </c>
      <c r="V1669" s="1">
        <v>0</v>
      </c>
    </row>
    <row r="1670" spans="1:22" x14ac:dyDescent="0.2">
      <c r="A1670" s="1" t="s">
        <v>1629</v>
      </c>
      <c r="B1670" s="1" t="s">
        <v>1677</v>
      </c>
      <c r="C1670" s="1">
        <v>0</v>
      </c>
      <c r="D1670" s="1">
        <v>0</v>
      </c>
      <c r="E1670" s="1">
        <v>0</v>
      </c>
      <c r="F1670" s="1">
        <v>0</v>
      </c>
      <c r="G1670" s="1">
        <v>0</v>
      </c>
      <c r="H1670" s="1">
        <v>0</v>
      </c>
      <c r="I1670" s="1">
        <v>0</v>
      </c>
      <c r="J1670" s="1">
        <v>0</v>
      </c>
      <c r="K1670" s="1">
        <v>0</v>
      </c>
      <c r="L1670" s="1">
        <v>14</v>
      </c>
      <c r="M1670" s="1">
        <v>23</v>
      </c>
      <c r="N1670" s="1">
        <v>37</v>
      </c>
      <c r="O1670" s="1">
        <v>16</v>
      </c>
      <c r="P1670" s="1">
        <v>9</v>
      </c>
      <c r="Q1670" s="1">
        <v>18</v>
      </c>
      <c r="R1670" s="1">
        <v>46</v>
      </c>
      <c r="S1670" s="1">
        <v>7</v>
      </c>
      <c r="T1670" s="1">
        <v>4</v>
      </c>
      <c r="U1670" s="1">
        <v>158</v>
      </c>
      <c r="V1670" s="1">
        <v>138</v>
      </c>
    </row>
    <row r="1671" spans="1:22" x14ac:dyDescent="0.2">
      <c r="A1671" s="1" t="s">
        <v>1629</v>
      </c>
      <c r="B1671" s="1" t="s">
        <v>1678</v>
      </c>
      <c r="C1671" s="1">
        <v>182</v>
      </c>
      <c r="D1671" s="1">
        <v>172</v>
      </c>
      <c r="E1671" s="1">
        <v>153</v>
      </c>
      <c r="F1671" s="1">
        <v>178</v>
      </c>
      <c r="G1671" s="1">
        <v>170</v>
      </c>
      <c r="H1671" s="1">
        <v>115</v>
      </c>
      <c r="I1671" s="1">
        <v>109</v>
      </c>
      <c r="J1671" s="1">
        <v>108</v>
      </c>
      <c r="K1671" s="1">
        <v>81</v>
      </c>
      <c r="L1671" s="1">
        <v>57</v>
      </c>
      <c r="M1671" s="1">
        <v>50</v>
      </c>
      <c r="N1671" s="1">
        <v>53</v>
      </c>
      <c r="O1671" s="1">
        <v>213</v>
      </c>
      <c r="P1671" s="1">
        <v>68</v>
      </c>
      <c r="Q1671" s="1">
        <v>100</v>
      </c>
      <c r="R1671" s="1">
        <v>47</v>
      </c>
      <c r="S1671" s="1">
        <v>65</v>
      </c>
      <c r="T1671" s="1">
        <v>103</v>
      </c>
      <c r="U1671" s="1">
        <v>222</v>
      </c>
      <c r="V1671" s="1">
        <v>77</v>
      </c>
    </row>
    <row r="1672" spans="1:22" x14ac:dyDescent="0.2">
      <c r="A1672" s="1" t="s">
        <v>1629</v>
      </c>
      <c r="B1672" s="1" t="s">
        <v>1679</v>
      </c>
      <c r="C1672" s="1">
        <v>3</v>
      </c>
      <c r="D1672" s="1">
        <v>6</v>
      </c>
      <c r="E1672" s="1">
        <v>19</v>
      </c>
      <c r="F1672" s="1">
        <v>46</v>
      </c>
      <c r="G1672" s="1">
        <v>31</v>
      </c>
      <c r="H1672" s="1">
        <v>26</v>
      </c>
      <c r="I1672" s="1">
        <v>41</v>
      </c>
      <c r="J1672" s="1">
        <v>60</v>
      </c>
      <c r="K1672" s="1">
        <v>52</v>
      </c>
      <c r="L1672" s="1">
        <v>59</v>
      </c>
      <c r="M1672" s="1">
        <v>60</v>
      </c>
      <c r="N1672" s="1">
        <v>68</v>
      </c>
      <c r="O1672" s="1">
        <v>110</v>
      </c>
      <c r="P1672" s="1">
        <v>144</v>
      </c>
      <c r="Q1672" s="1">
        <v>228</v>
      </c>
      <c r="R1672" s="1">
        <v>247</v>
      </c>
      <c r="S1672" s="1">
        <v>262</v>
      </c>
      <c r="T1672" s="1">
        <v>288</v>
      </c>
      <c r="U1672" s="1">
        <v>198</v>
      </c>
      <c r="V1672" s="1">
        <v>385</v>
      </c>
    </row>
    <row r="1673" spans="1:22" x14ac:dyDescent="0.2">
      <c r="A1673" s="1" t="s">
        <v>1629</v>
      </c>
      <c r="B1673" s="1" t="s">
        <v>1680</v>
      </c>
      <c r="C1673" s="1">
        <v>1</v>
      </c>
      <c r="D1673" s="1">
        <v>3</v>
      </c>
      <c r="E1673" s="1">
        <v>12</v>
      </c>
      <c r="F1673" s="1">
        <v>2</v>
      </c>
      <c r="G1673" s="1">
        <v>3</v>
      </c>
      <c r="H1673" s="1">
        <v>17</v>
      </c>
      <c r="I1673" s="1">
        <v>11</v>
      </c>
      <c r="J1673" s="1">
        <v>16</v>
      </c>
      <c r="K1673" s="1">
        <v>11</v>
      </c>
      <c r="L1673" s="1">
        <v>11</v>
      </c>
      <c r="M1673" s="1">
        <v>12</v>
      </c>
      <c r="N1673" s="1">
        <v>16</v>
      </c>
      <c r="O1673" s="1">
        <v>11</v>
      </c>
      <c r="P1673" s="1">
        <v>15</v>
      </c>
      <c r="Q1673" s="1">
        <v>24</v>
      </c>
      <c r="R1673" s="1">
        <v>16</v>
      </c>
      <c r="S1673" s="1">
        <v>16</v>
      </c>
      <c r="T1673" s="1">
        <v>22</v>
      </c>
      <c r="U1673" s="1">
        <v>28</v>
      </c>
      <c r="V1673" s="1">
        <v>20</v>
      </c>
    </row>
    <row r="1674" spans="1:22" x14ac:dyDescent="0.2">
      <c r="A1674" s="1" t="s">
        <v>1629</v>
      </c>
      <c r="B1674" s="1" t="s">
        <v>1681</v>
      </c>
      <c r="C1674" s="1">
        <v>0</v>
      </c>
      <c r="D1674" s="1">
        <v>0</v>
      </c>
      <c r="E1674" s="1">
        <v>0</v>
      </c>
      <c r="F1674" s="1">
        <v>0</v>
      </c>
      <c r="G1674" s="1">
        <v>0</v>
      </c>
      <c r="H1674" s="1">
        <v>0</v>
      </c>
      <c r="I1674" s="1">
        <v>0</v>
      </c>
      <c r="J1674" s="1">
        <v>0</v>
      </c>
      <c r="K1674" s="1">
        <v>0</v>
      </c>
      <c r="L1674" s="1">
        <v>0</v>
      </c>
      <c r="M1674" s="1">
        <v>0</v>
      </c>
      <c r="N1674" s="1">
        <v>0</v>
      </c>
      <c r="O1674" s="1">
        <v>0</v>
      </c>
      <c r="P1674" s="1">
        <v>0</v>
      </c>
      <c r="Q1674" s="1">
        <v>0</v>
      </c>
      <c r="R1674" s="1">
        <v>1</v>
      </c>
      <c r="S1674" s="1">
        <v>0</v>
      </c>
      <c r="T1674" s="1">
        <v>0</v>
      </c>
      <c r="U1674" s="1">
        <v>0</v>
      </c>
      <c r="V1674" s="1">
        <v>0</v>
      </c>
    </row>
    <row r="1675" spans="1:22" x14ac:dyDescent="0.2">
      <c r="A1675" s="1" t="s">
        <v>1629</v>
      </c>
      <c r="B1675" s="1" t="s">
        <v>1682</v>
      </c>
      <c r="C1675" s="1">
        <v>97</v>
      </c>
      <c r="D1675" s="1">
        <v>246</v>
      </c>
      <c r="E1675" s="1">
        <v>163</v>
      </c>
      <c r="F1675" s="1">
        <v>231</v>
      </c>
      <c r="G1675" s="1">
        <v>175</v>
      </c>
      <c r="H1675" s="1">
        <v>129</v>
      </c>
      <c r="I1675" s="1">
        <v>78</v>
      </c>
      <c r="J1675" s="1">
        <v>116</v>
      </c>
      <c r="K1675" s="1">
        <v>73</v>
      </c>
      <c r="L1675" s="1">
        <v>44</v>
      </c>
      <c r="M1675" s="1">
        <v>34</v>
      </c>
      <c r="N1675" s="1">
        <v>37</v>
      </c>
      <c r="O1675" s="1">
        <v>29</v>
      </c>
      <c r="P1675" s="1">
        <v>33</v>
      </c>
      <c r="Q1675" s="1">
        <v>80</v>
      </c>
      <c r="R1675" s="1">
        <v>80</v>
      </c>
      <c r="S1675" s="1">
        <v>64</v>
      </c>
      <c r="T1675" s="1">
        <v>58</v>
      </c>
      <c r="U1675" s="1">
        <v>41</v>
      </c>
      <c r="V1675" s="1">
        <v>74</v>
      </c>
    </row>
    <row r="1676" spans="1:22" x14ac:dyDescent="0.2">
      <c r="A1676" s="1" t="s">
        <v>1629</v>
      </c>
      <c r="B1676" s="1" t="s">
        <v>1683</v>
      </c>
      <c r="C1676" s="1">
        <v>0</v>
      </c>
      <c r="D1676" s="1">
        <v>0</v>
      </c>
      <c r="E1676" s="1">
        <v>0</v>
      </c>
      <c r="F1676" s="1">
        <v>0</v>
      </c>
      <c r="G1676" s="1">
        <v>0</v>
      </c>
      <c r="H1676" s="1">
        <v>0</v>
      </c>
      <c r="I1676" s="1">
        <v>0</v>
      </c>
      <c r="J1676" s="1">
        <v>0</v>
      </c>
      <c r="K1676" s="1">
        <v>0</v>
      </c>
      <c r="L1676" s="1">
        <v>40</v>
      </c>
      <c r="M1676" s="1">
        <v>32</v>
      </c>
      <c r="N1676" s="1">
        <v>29</v>
      </c>
      <c r="O1676" s="1">
        <v>73</v>
      </c>
      <c r="P1676" s="1">
        <v>20</v>
      </c>
      <c r="Q1676" s="1">
        <v>17</v>
      </c>
      <c r="R1676" s="1">
        <v>26</v>
      </c>
      <c r="S1676" s="1">
        <v>33</v>
      </c>
      <c r="T1676" s="1">
        <v>16</v>
      </c>
      <c r="U1676" s="1">
        <v>8</v>
      </c>
      <c r="V1676" s="1">
        <v>11</v>
      </c>
    </row>
    <row r="1677" spans="1:22" x14ac:dyDescent="0.2">
      <c r="A1677" s="1" t="s">
        <v>1629</v>
      </c>
      <c r="B1677" s="1" t="s">
        <v>1684</v>
      </c>
      <c r="C1677" s="1">
        <v>0</v>
      </c>
      <c r="D1677" s="1">
        <v>0</v>
      </c>
      <c r="E1677" s="1">
        <v>0</v>
      </c>
      <c r="F1677" s="1">
        <v>0</v>
      </c>
      <c r="G1677" s="1">
        <v>0</v>
      </c>
      <c r="H1677" s="1">
        <v>0</v>
      </c>
      <c r="I1677" s="1">
        <v>0</v>
      </c>
      <c r="J1677" s="1">
        <v>0</v>
      </c>
      <c r="K1677" s="1">
        <v>0</v>
      </c>
      <c r="L1677" s="1">
        <v>0</v>
      </c>
      <c r="M1677" s="1">
        <v>0</v>
      </c>
      <c r="N1677" s="1">
        <v>0</v>
      </c>
      <c r="O1677" s="1">
        <v>0</v>
      </c>
      <c r="P1677" s="1">
        <v>2</v>
      </c>
      <c r="Q1677" s="1">
        <v>0</v>
      </c>
      <c r="R1677" s="1">
        <v>0</v>
      </c>
      <c r="S1677" s="1">
        <v>0</v>
      </c>
      <c r="T1677" s="1">
        <v>0</v>
      </c>
      <c r="U1677" s="1">
        <v>0</v>
      </c>
      <c r="V1677" s="1">
        <v>1</v>
      </c>
    </row>
    <row r="1678" spans="1:22" x14ac:dyDescent="0.2">
      <c r="A1678" s="1" t="s">
        <v>1629</v>
      </c>
      <c r="B1678" s="1" t="s">
        <v>1685</v>
      </c>
      <c r="C1678" s="1">
        <v>129</v>
      </c>
      <c r="D1678" s="1">
        <v>107</v>
      </c>
      <c r="E1678" s="1">
        <v>74</v>
      </c>
      <c r="F1678" s="1">
        <v>49</v>
      </c>
      <c r="G1678" s="1">
        <v>66</v>
      </c>
      <c r="H1678" s="1">
        <v>56</v>
      </c>
      <c r="I1678" s="1">
        <v>23</v>
      </c>
      <c r="J1678" s="1">
        <v>15</v>
      </c>
      <c r="K1678" s="1">
        <v>16</v>
      </c>
      <c r="L1678" s="1">
        <v>29</v>
      </c>
      <c r="M1678" s="1">
        <v>8</v>
      </c>
      <c r="N1678" s="1">
        <v>6</v>
      </c>
      <c r="O1678" s="1">
        <v>12</v>
      </c>
      <c r="P1678" s="1">
        <v>2</v>
      </c>
      <c r="Q1678" s="1">
        <v>0</v>
      </c>
      <c r="R1678" s="1">
        <v>0</v>
      </c>
      <c r="S1678" s="1">
        <v>0</v>
      </c>
      <c r="T1678" s="1">
        <v>0</v>
      </c>
      <c r="U1678" s="1">
        <v>0</v>
      </c>
      <c r="V1678" s="1">
        <v>0</v>
      </c>
    </row>
    <row r="1679" spans="1:22" x14ac:dyDescent="0.2">
      <c r="A1679" s="1" t="s">
        <v>1629</v>
      </c>
      <c r="B1679" s="1" t="s">
        <v>1686</v>
      </c>
      <c r="C1679" s="1">
        <v>0</v>
      </c>
      <c r="D1679" s="1">
        <v>0</v>
      </c>
      <c r="E1679" s="1">
        <v>0</v>
      </c>
      <c r="F1679" s="1">
        <v>0</v>
      </c>
      <c r="G1679" s="1">
        <v>0</v>
      </c>
      <c r="H1679" s="1">
        <v>0</v>
      </c>
      <c r="I1679" s="1">
        <v>0</v>
      </c>
      <c r="J1679" s="1">
        <v>0</v>
      </c>
      <c r="K1679" s="1">
        <v>0</v>
      </c>
      <c r="L1679" s="1">
        <v>0</v>
      </c>
      <c r="M1679" s="1">
        <v>0</v>
      </c>
      <c r="N1679" s="1">
        <v>0</v>
      </c>
      <c r="O1679" s="1">
        <v>0</v>
      </c>
      <c r="P1679" s="1">
        <v>0</v>
      </c>
      <c r="Q1679" s="1">
        <v>0</v>
      </c>
      <c r="R1679" s="1">
        <v>1</v>
      </c>
      <c r="S1679" s="1">
        <v>4</v>
      </c>
      <c r="T1679" s="1">
        <v>1</v>
      </c>
      <c r="U1679" s="1">
        <v>0</v>
      </c>
      <c r="V1679" s="1">
        <v>0</v>
      </c>
    </row>
    <row r="1680" spans="1:22" x14ac:dyDescent="0.2">
      <c r="A1680" s="1" t="s">
        <v>1629</v>
      </c>
      <c r="B1680" s="1" t="s">
        <v>1687</v>
      </c>
      <c r="C1680" s="1">
        <v>0</v>
      </c>
      <c r="D1680" s="1">
        <v>0</v>
      </c>
      <c r="E1680" s="1">
        <v>0</v>
      </c>
      <c r="F1680" s="1">
        <v>0</v>
      </c>
      <c r="G1680" s="1">
        <v>0</v>
      </c>
      <c r="H1680" s="1">
        <v>0</v>
      </c>
      <c r="I1680" s="1">
        <v>0</v>
      </c>
      <c r="J1680" s="1">
        <v>0</v>
      </c>
      <c r="K1680" s="1">
        <v>0</v>
      </c>
      <c r="L1680" s="1">
        <v>0</v>
      </c>
      <c r="M1680" s="1">
        <v>10</v>
      </c>
      <c r="N1680" s="1">
        <v>5</v>
      </c>
      <c r="O1680" s="1">
        <v>7</v>
      </c>
      <c r="P1680" s="1">
        <v>8</v>
      </c>
      <c r="Q1680" s="1">
        <v>8</v>
      </c>
      <c r="R1680" s="1">
        <v>8</v>
      </c>
      <c r="S1680" s="1">
        <v>1</v>
      </c>
      <c r="T1680" s="1">
        <v>7</v>
      </c>
      <c r="U1680" s="1">
        <v>6</v>
      </c>
      <c r="V1680" s="1">
        <v>4</v>
      </c>
    </row>
    <row r="1681" spans="1:22" x14ac:dyDescent="0.2">
      <c r="A1681" s="1" t="s">
        <v>1629</v>
      </c>
      <c r="B1681" s="1" t="s">
        <v>1688</v>
      </c>
      <c r="C1681" s="1">
        <v>0</v>
      </c>
      <c r="D1681" s="1">
        <v>0</v>
      </c>
      <c r="E1681" s="1">
        <v>0</v>
      </c>
      <c r="F1681" s="1">
        <v>0</v>
      </c>
      <c r="G1681" s="1">
        <v>0</v>
      </c>
      <c r="H1681" s="1">
        <v>0</v>
      </c>
      <c r="I1681" s="1">
        <v>0</v>
      </c>
      <c r="J1681" s="1">
        <v>0</v>
      </c>
      <c r="K1681" s="1">
        <v>0</v>
      </c>
      <c r="L1681" s="1">
        <v>0</v>
      </c>
      <c r="M1681" s="1">
        <v>5</v>
      </c>
      <c r="N1681" s="1">
        <v>3</v>
      </c>
      <c r="O1681" s="1">
        <v>1</v>
      </c>
      <c r="P1681" s="1">
        <v>0</v>
      </c>
      <c r="Q1681" s="1">
        <v>11</v>
      </c>
      <c r="R1681" s="1">
        <v>2</v>
      </c>
      <c r="S1681" s="1">
        <v>7</v>
      </c>
      <c r="T1681" s="1">
        <v>6</v>
      </c>
      <c r="U1681" s="1">
        <v>4</v>
      </c>
      <c r="V1681" s="1">
        <v>6</v>
      </c>
    </row>
    <row r="1682" spans="1:22" x14ac:dyDescent="0.2">
      <c r="A1682" s="1" t="s">
        <v>1629</v>
      </c>
      <c r="B1682" s="1" t="s">
        <v>1689</v>
      </c>
      <c r="C1682" s="1">
        <v>34</v>
      </c>
      <c r="D1682" s="1">
        <v>129</v>
      </c>
      <c r="E1682" s="1">
        <v>169</v>
      </c>
      <c r="F1682" s="1">
        <v>132</v>
      </c>
      <c r="G1682" s="1">
        <v>121</v>
      </c>
      <c r="H1682" s="1">
        <v>135</v>
      </c>
      <c r="I1682" s="1">
        <v>186</v>
      </c>
      <c r="J1682" s="1">
        <v>247</v>
      </c>
      <c r="K1682" s="1">
        <v>257</v>
      </c>
      <c r="L1682" s="1">
        <v>311</v>
      </c>
      <c r="M1682" s="1">
        <v>191</v>
      </c>
      <c r="N1682" s="1">
        <v>212</v>
      </c>
      <c r="O1682" s="1">
        <v>219</v>
      </c>
      <c r="P1682" s="1">
        <v>283</v>
      </c>
      <c r="Q1682" s="1">
        <v>309</v>
      </c>
      <c r="R1682" s="1">
        <v>294</v>
      </c>
      <c r="S1682" s="1">
        <v>254</v>
      </c>
      <c r="T1682" s="1">
        <v>59</v>
      </c>
      <c r="U1682" s="1">
        <v>2</v>
      </c>
      <c r="V1682" s="1">
        <v>5</v>
      </c>
    </row>
    <row r="1683" spans="1:22" x14ac:dyDescent="0.2">
      <c r="A1683" s="1" t="s">
        <v>1629</v>
      </c>
      <c r="B1683" s="1" t="s">
        <v>1690</v>
      </c>
      <c r="C1683" s="1">
        <v>170</v>
      </c>
      <c r="D1683" s="1">
        <v>160</v>
      </c>
      <c r="E1683" s="1">
        <v>205</v>
      </c>
      <c r="F1683" s="1">
        <v>172</v>
      </c>
      <c r="G1683" s="1">
        <v>317</v>
      </c>
      <c r="H1683" s="1">
        <v>317</v>
      </c>
      <c r="I1683" s="1">
        <v>295</v>
      </c>
      <c r="J1683" s="1">
        <v>441</v>
      </c>
      <c r="K1683" s="1">
        <v>589</v>
      </c>
      <c r="L1683" s="1">
        <v>720</v>
      </c>
      <c r="M1683" s="1">
        <v>568</v>
      </c>
      <c r="N1683" s="1">
        <v>702</v>
      </c>
      <c r="O1683" s="1">
        <v>798</v>
      </c>
      <c r="P1683" s="1">
        <v>995</v>
      </c>
      <c r="Q1683" s="1">
        <v>928</v>
      </c>
      <c r="R1683" s="1">
        <v>955</v>
      </c>
      <c r="S1683" s="1">
        <v>1096</v>
      </c>
      <c r="T1683" s="1">
        <v>2119</v>
      </c>
      <c r="U1683" s="1">
        <v>4003</v>
      </c>
      <c r="V1683" s="1">
        <v>4110</v>
      </c>
    </row>
    <row r="1684" spans="1:22" x14ac:dyDescent="0.2">
      <c r="A1684" s="1" t="s">
        <v>1629</v>
      </c>
      <c r="B1684" s="1" t="s">
        <v>1691</v>
      </c>
      <c r="C1684" s="1">
        <v>0</v>
      </c>
      <c r="D1684" s="1">
        <v>0</v>
      </c>
      <c r="E1684" s="1">
        <v>0</v>
      </c>
      <c r="F1684" s="1">
        <v>0</v>
      </c>
      <c r="G1684" s="1">
        <v>66</v>
      </c>
      <c r="H1684" s="1">
        <v>45</v>
      </c>
      <c r="I1684" s="1">
        <v>49</v>
      </c>
      <c r="J1684" s="1">
        <v>99</v>
      </c>
      <c r="K1684" s="1">
        <v>58</v>
      </c>
      <c r="L1684" s="1">
        <v>75</v>
      </c>
      <c r="M1684" s="1">
        <v>104</v>
      </c>
      <c r="N1684" s="1">
        <v>93</v>
      </c>
      <c r="O1684" s="1">
        <v>95</v>
      </c>
      <c r="P1684" s="1">
        <v>56</v>
      </c>
      <c r="Q1684" s="1">
        <v>0</v>
      </c>
      <c r="R1684" s="1">
        <v>1</v>
      </c>
      <c r="S1684" s="1">
        <v>1</v>
      </c>
      <c r="T1684" s="1">
        <v>3</v>
      </c>
      <c r="U1684" s="1">
        <v>0</v>
      </c>
      <c r="V1684" s="1">
        <v>1</v>
      </c>
    </row>
    <row r="1685" spans="1:22" x14ac:dyDescent="0.2">
      <c r="A1685" s="1" t="s">
        <v>1629</v>
      </c>
      <c r="B1685" s="1" t="s">
        <v>1692</v>
      </c>
      <c r="C1685" s="1">
        <v>0</v>
      </c>
      <c r="D1685" s="1">
        <v>0</v>
      </c>
      <c r="E1685" s="1">
        <v>0</v>
      </c>
      <c r="F1685" s="1">
        <v>0</v>
      </c>
      <c r="G1685" s="1">
        <v>9</v>
      </c>
      <c r="H1685" s="1">
        <v>11</v>
      </c>
      <c r="I1685" s="1">
        <v>19</v>
      </c>
      <c r="J1685" s="1">
        <v>20</v>
      </c>
      <c r="K1685" s="1">
        <v>30</v>
      </c>
      <c r="L1685" s="1">
        <v>10</v>
      </c>
      <c r="M1685" s="1">
        <v>21</v>
      </c>
      <c r="N1685" s="1">
        <v>12</v>
      </c>
      <c r="O1685" s="1">
        <v>4</v>
      </c>
      <c r="P1685" s="1">
        <v>5</v>
      </c>
      <c r="Q1685" s="1">
        <v>0</v>
      </c>
      <c r="R1685" s="1">
        <v>0</v>
      </c>
      <c r="S1685" s="1">
        <v>0</v>
      </c>
      <c r="T1685" s="1">
        <v>2</v>
      </c>
      <c r="U1685" s="1">
        <v>1</v>
      </c>
      <c r="V1685" s="1">
        <v>2</v>
      </c>
    </row>
    <row r="1686" spans="1:22" x14ac:dyDescent="0.2">
      <c r="A1686" s="1" t="s">
        <v>1629</v>
      </c>
      <c r="B1686" s="1" t="s">
        <v>1693</v>
      </c>
      <c r="C1686" s="1">
        <v>0</v>
      </c>
      <c r="D1686" s="1">
        <v>0</v>
      </c>
      <c r="E1686" s="1">
        <v>0</v>
      </c>
      <c r="F1686" s="1">
        <v>0</v>
      </c>
      <c r="G1686" s="1">
        <v>0</v>
      </c>
      <c r="H1686" s="1">
        <v>0</v>
      </c>
      <c r="I1686" s="1">
        <v>2</v>
      </c>
      <c r="J1686" s="1">
        <v>0</v>
      </c>
      <c r="K1686" s="1">
        <v>3</v>
      </c>
      <c r="L1686" s="1">
        <v>0</v>
      </c>
      <c r="M1686" s="1">
        <v>2</v>
      </c>
      <c r="N1686" s="1">
        <v>0</v>
      </c>
      <c r="O1686" s="1">
        <v>1</v>
      </c>
      <c r="P1686" s="1">
        <v>1</v>
      </c>
      <c r="Q1686" s="1">
        <v>1</v>
      </c>
      <c r="R1686" s="1">
        <v>2</v>
      </c>
      <c r="S1686" s="1">
        <v>2</v>
      </c>
      <c r="T1686" s="1">
        <v>4</v>
      </c>
      <c r="U1686" s="1">
        <v>4</v>
      </c>
      <c r="V1686" s="1">
        <v>1</v>
      </c>
    </row>
    <row r="1687" spans="1:22" x14ac:dyDescent="0.2">
      <c r="A1687" s="1" t="s">
        <v>1629</v>
      </c>
      <c r="B1687" s="1" t="s">
        <v>1694</v>
      </c>
      <c r="C1687" s="1">
        <v>0</v>
      </c>
      <c r="D1687" s="1">
        <v>0</v>
      </c>
      <c r="E1687" s="1">
        <v>0</v>
      </c>
      <c r="F1687" s="1">
        <v>0</v>
      </c>
      <c r="G1687" s="1">
        <v>0</v>
      </c>
      <c r="H1687" s="1">
        <v>0</v>
      </c>
      <c r="I1687" s="1">
        <v>0</v>
      </c>
      <c r="J1687" s="1">
        <v>0</v>
      </c>
      <c r="K1687" s="1">
        <v>0</v>
      </c>
      <c r="L1687" s="1">
        <v>0</v>
      </c>
      <c r="M1687" s="1">
        <v>0</v>
      </c>
      <c r="N1687" s="1">
        <v>0</v>
      </c>
      <c r="O1687" s="1">
        <v>0</v>
      </c>
      <c r="P1687" s="1">
        <v>3</v>
      </c>
      <c r="Q1687" s="1">
        <v>62</v>
      </c>
      <c r="R1687" s="1">
        <v>82</v>
      </c>
      <c r="S1687" s="1">
        <v>96</v>
      </c>
      <c r="T1687" s="1">
        <v>186</v>
      </c>
      <c r="U1687" s="1">
        <v>250</v>
      </c>
      <c r="V1687" s="1">
        <v>228</v>
      </c>
    </row>
    <row r="1688" spans="1:22" x14ac:dyDescent="0.2">
      <c r="A1688" s="1" t="s">
        <v>1629</v>
      </c>
      <c r="B1688" s="1" t="s">
        <v>1695</v>
      </c>
      <c r="C1688" s="1">
        <v>0</v>
      </c>
      <c r="D1688" s="1">
        <v>0</v>
      </c>
      <c r="E1688" s="1">
        <v>0</v>
      </c>
      <c r="F1688" s="1">
        <v>0</v>
      </c>
      <c r="G1688" s="1">
        <v>0</v>
      </c>
      <c r="H1688" s="1">
        <v>0</v>
      </c>
      <c r="I1688" s="1">
        <v>0</v>
      </c>
      <c r="J1688" s="1">
        <v>0</v>
      </c>
      <c r="K1688" s="1">
        <v>2</v>
      </c>
      <c r="L1688" s="1">
        <v>7</v>
      </c>
      <c r="M1688" s="1">
        <v>9</v>
      </c>
      <c r="N1688" s="1">
        <v>9</v>
      </c>
      <c r="O1688" s="1">
        <v>3</v>
      </c>
      <c r="P1688" s="1">
        <v>8</v>
      </c>
      <c r="Q1688" s="1">
        <v>11</v>
      </c>
      <c r="R1688" s="1">
        <v>19</v>
      </c>
      <c r="S1688" s="1">
        <v>19</v>
      </c>
      <c r="T1688" s="1">
        <v>12</v>
      </c>
      <c r="U1688" s="1">
        <v>12</v>
      </c>
      <c r="V1688" s="1">
        <v>15</v>
      </c>
    </row>
    <row r="1689" spans="1:22" x14ac:dyDescent="0.2">
      <c r="A1689" s="1" t="s">
        <v>1629</v>
      </c>
      <c r="B1689" s="1" t="s">
        <v>1696</v>
      </c>
      <c r="C1689" s="1">
        <v>12</v>
      </c>
      <c r="D1689" s="1">
        <v>4</v>
      </c>
      <c r="E1689" s="1">
        <v>8</v>
      </c>
      <c r="F1689" s="1">
        <v>7</v>
      </c>
      <c r="G1689" s="1">
        <v>18</v>
      </c>
      <c r="H1689" s="1">
        <v>10</v>
      </c>
      <c r="I1689" s="1">
        <v>11</v>
      </c>
      <c r="J1689" s="1">
        <v>9</v>
      </c>
      <c r="K1689" s="1">
        <v>18</v>
      </c>
      <c r="L1689" s="1">
        <v>41</v>
      </c>
      <c r="M1689" s="1">
        <v>43</v>
      </c>
      <c r="N1689" s="1">
        <v>32</v>
      </c>
      <c r="O1689" s="1">
        <v>37</v>
      </c>
      <c r="P1689" s="1">
        <v>61</v>
      </c>
      <c r="Q1689" s="1">
        <v>62</v>
      </c>
      <c r="R1689" s="1">
        <v>55</v>
      </c>
      <c r="S1689" s="1">
        <v>96</v>
      </c>
      <c r="T1689" s="1">
        <v>145</v>
      </c>
      <c r="U1689" s="1">
        <v>137</v>
      </c>
      <c r="V1689" s="1">
        <f>64+181</f>
        <v>245</v>
      </c>
    </row>
    <row r="1690" spans="1:22" x14ac:dyDescent="0.2">
      <c r="A1690" s="1" t="s">
        <v>1629</v>
      </c>
      <c r="B1690" s="1" t="s">
        <v>1697</v>
      </c>
      <c r="C1690" s="1">
        <v>1209</v>
      </c>
      <c r="D1690" s="1">
        <v>1309</v>
      </c>
      <c r="E1690" s="1">
        <v>1343</v>
      </c>
      <c r="F1690" s="1">
        <v>1565</v>
      </c>
      <c r="G1690" s="1">
        <v>1670</v>
      </c>
      <c r="H1690" s="1">
        <v>1523</v>
      </c>
      <c r="I1690" s="1">
        <v>1311</v>
      </c>
      <c r="J1690" s="1">
        <v>1337</v>
      </c>
      <c r="K1690" s="1">
        <v>1357</v>
      </c>
      <c r="L1690" s="1">
        <v>1602</v>
      </c>
      <c r="M1690" s="1">
        <v>1613</v>
      </c>
      <c r="N1690" s="1">
        <v>1641</v>
      </c>
      <c r="O1690" s="1">
        <v>1430</v>
      </c>
      <c r="P1690" s="1">
        <v>1599</v>
      </c>
      <c r="Q1690" s="1">
        <v>1646</v>
      </c>
      <c r="R1690" s="1">
        <v>1547</v>
      </c>
      <c r="S1690" s="1">
        <v>1634</v>
      </c>
      <c r="T1690" s="1">
        <v>1731</v>
      </c>
      <c r="U1690" s="1">
        <v>1912</v>
      </c>
      <c r="V1690" s="1">
        <v>2088</v>
      </c>
    </row>
    <row r="1691" spans="1:22" x14ac:dyDescent="0.2">
      <c r="A1691" s="1" t="s">
        <v>1629</v>
      </c>
      <c r="B1691" s="1" t="s">
        <v>1698</v>
      </c>
      <c r="C1691" s="1">
        <v>6</v>
      </c>
      <c r="D1691" s="1">
        <v>1</v>
      </c>
      <c r="E1691" s="1">
        <v>5</v>
      </c>
      <c r="F1691" s="1">
        <v>0</v>
      </c>
      <c r="G1691" s="1">
        <v>0</v>
      </c>
      <c r="H1691" s="1">
        <v>0</v>
      </c>
      <c r="I1691" s="1">
        <v>1</v>
      </c>
      <c r="J1691" s="1">
        <v>0</v>
      </c>
      <c r="K1691" s="1">
        <v>1</v>
      </c>
      <c r="L1691" s="1">
        <v>17</v>
      </c>
      <c r="M1691" s="1">
        <v>1</v>
      </c>
      <c r="N1691" s="1">
        <v>0</v>
      </c>
      <c r="O1691" s="1">
        <v>0</v>
      </c>
      <c r="P1691" s="1">
        <v>0</v>
      </c>
      <c r="Q1691" s="1">
        <v>1</v>
      </c>
      <c r="R1691" s="1">
        <v>1</v>
      </c>
      <c r="S1691" s="1">
        <v>0</v>
      </c>
      <c r="T1691" s="1">
        <v>0</v>
      </c>
      <c r="U1691" s="1">
        <v>0</v>
      </c>
      <c r="V1691" s="1">
        <v>0</v>
      </c>
    </row>
    <row r="1692" spans="1:22" x14ac:dyDescent="0.2">
      <c r="A1692" s="1" t="s">
        <v>1629</v>
      </c>
      <c r="B1692" s="1" t="s">
        <v>1699</v>
      </c>
      <c r="C1692" s="1">
        <v>132</v>
      </c>
      <c r="D1692" s="1">
        <v>146</v>
      </c>
      <c r="E1692" s="1">
        <v>143</v>
      </c>
      <c r="F1692" s="1">
        <v>132</v>
      </c>
      <c r="G1692" s="1">
        <v>113</v>
      </c>
      <c r="H1692" s="1">
        <v>103</v>
      </c>
      <c r="I1692" s="1">
        <v>88</v>
      </c>
      <c r="J1692" s="1">
        <v>97</v>
      </c>
      <c r="K1692" s="1">
        <v>66</v>
      </c>
      <c r="L1692" s="1">
        <v>83</v>
      </c>
      <c r="M1692" s="1">
        <v>65</v>
      </c>
      <c r="N1692" s="1">
        <v>49</v>
      </c>
      <c r="O1692" s="1">
        <v>68</v>
      </c>
      <c r="P1692" s="1">
        <v>57</v>
      </c>
      <c r="Q1692" s="1">
        <v>34</v>
      </c>
      <c r="R1692" s="1">
        <v>36</v>
      </c>
      <c r="S1692" s="1">
        <v>16</v>
      </c>
      <c r="T1692" s="1">
        <v>0</v>
      </c>
      <c r="U1692" s="1">
        <v>0</v>
      </c>
      <c r="V1692" s="1">
        <v>0</v>
      </c>
    </row>
    <row r="1693" spans="1:22" x14ac:dyDescent="0.2">
      <c r="A1693" s="1" t="s">
        <v>1629</v>
      </c>
      <c r="B1693" s="1" t="s">
        <v>1700</v>
      </c>
      <c r="C1693" s="1">
        <v>0</v>
      </c>
      <c r="D1693" s="1">
        <v>0</v>
      </c>
      <c r="E1693" s="1">
        <v>0</v>
      </c>
      <c r="F1693" s="1">
        <v>0</v>
      </c>
      <c r="G1693" s="1">
        <v>0</v>
      </c>
      <c r="H1693" s="1">
        <v>0</v>
      </c>
      <c r="I1693" s="1">
        <v>0</v>
      </c>
      <c r="J1693" s="1">
        <v>0</v>
      </c>
      <c r="K1693" s="1">
        <v>0</v>
      </c>
      <c r="L1693" s="1">
        <v>66</v>
      </c>
      <c r="M1693" s="1">
        <v>65</v>
      </c>
      <c r="N1693" s="1">
        <v>65</v>
      </c>
      <c r="O1693" s="1">
        <v>88</v>
      </c>
      <c r="P1693" s="1">
        <v>104</v>
      </c>
      <c r="Q1693" s="1">
        <v>78</v>
      </c>
      <c r="R1693" s="1">
        <v>56</v>
      </c>
      <c r="S1693" s="1">
        <v>33</v>
      </c>
      <c r="T1693" s="1">
        <v>12</v>
      </c>
      <c r="U1693" s="1">
        <v>1</v>
      </c>
      <c r="V1693" s="1">
        <v>1</v>
      </c>
    </row>
    <row r="1694" spans="1:22" x14ac:dyDescent="0.2">
      <c r="A1694" s="1" t="s">
        <v>1629</v>
      </c>
      <c r="B1694" s="1" t="s">
        <v>1701</v>
      </c>
      <c r="C1694" s="1">
        <f t="shared" ref="C1694:K1694" si="270">SUM(C1695:C1712)</f>
        <v>122</v>
      </c>
      <c r="D1694" s="1">
        <f t="shared" si="270"/>
        <v>138</v>
      </c>
      <c r="E1694" s="1">
        <f t="shared" si="270"/>
        <v>182</v>
      </c>
      <c r="F1694" s="1">
        <f t="shared" si="270"/>
        <v>154</v>
      </c>
      <c r="G1694" s="1">
        <f t="shared" si="270"/>
        <v>223</v>
      </c>
      <c r="H1694" s="1">
        <f t="shared" si="270"/>
        <v>203</v>
      </c>
      <c r="I1694" s="1">
        <f t="shared" si="270"/>
        <v>189</v>
      </c>
      <c r="J1694" s="1">
        <f t="shared" si="270"/>
        <v>232</v>
      </c>
      <c r="K1694" s="1">
        <f t="shared" si="270"/>
        <v>279</v>
      </c>
      <c r="L1694" s="1">
        <f>SUM(L1695:L1712)</f>
        <v>435</v>
      </c>
      <c r="M1694" s="1">
        <f>SUM(M1695:M1712)</f>
        <v>582</v>
      </c>
      <c r="N1694" s="1">
        <f>SUM(N1695:N1712)</f>
        <v>731</v>
      </c>
      <c r="O1694" s="1">
        <f t="shared" ref="O1694:V1694" si="271">SUM(O1695:O1712)</f>
        <v>867</v>
      </c>
      <c r="P1694" s="1">
        <f t="shared" si="271"/>
        <v>941</v>
      </c>
      <c r="Q1694" s="1">
        <f t="shared" si="271"/>
        <v>1051</v>
      </c>
      <c r="R1694" s="1">
        <f t="shared" si="271"/>
        <v>1256</v>
      </c>
      <c r="S1694" s="1">
        <f t="shared" si="271"/>
        <v>1466</v>
      </c>
      <c r="T1694" s="1">
        <f t="shared" si="271"/>
        <v>1501</v>
      </c>
      <c r="U1694" s="1">
        <f t="shared" si="271"/>
        <v>1525</v>
      </c>
      <c r="V1694" s="1">
        <f t="shared" si="271"/>
        <v>2012</v>
      </c>
    </row>
    <row r="1695" spans="1:22" x14ac:dyDescent="0.2">
      <c r="A1695" s="1" t="s">
        <v>1629</v>
      </c>
      <c r="B1695" s="1" t="s">
        <v>1702</v>
      </c>
      <c r="C1695" s="1">
        <v>3</v>
      </c>
      <c r="D1695" s="1">
        <v>0</v>
      </c>
      <c r="E1695" s="1">
        <v>0</v>
      </c>
      <c r="F1695" s="1">
        <v>0</v>
      </c>
      <c r="G1695" s="1">
        <v>4</v>
      </c>
      <c r="H1695" s="1">
        <v>0</v>
      </c>
      <c r="I1695" s="1">
        <v>0</v>
      </c>
      <c r="J1695" s="1">
        <v>0</v>
      </c>
      <c r="K1695" s="1">
        <v>0</v>
      </c>
      <c r="L1695" s="1">
        <v>0</v>
      </c>
      <c r="M1695" s="1">
        <v>1</v>
      </c>
      <c r="N1695" s="1">
        <v>0</v>
      </c>
      <c r="V1695" s="1">
        <v>0</v>
      </c>
    </row>
    <row r="1696" spans="1:22" x14ac:dyDescent="0.2">
      <c r="A1696" s="1" t="s">
        <v>1629</v>
      </c>
      <c r="B1696" s="1" t="s">
        <v>1703</v>
      </c>
      <c r="C1696" s="1">
        <v>0</v>
      </c>
      <c r="D1696" s="1">
        <v>0</v>
      </c>
      <c r="E1696" s="1">
        <v>0</v>
      </c>
      <c r="F1696" s="1">
        <v>0</v>
      </c>
      <c r="G1696" s="1">
        <v>0</v>
      </c>
      <c r="H1696" s="1">
        <v>16</v>
      </c>
      <c r="I1696" s="1">
        <v>3</v>
      </c>
      <c r="J1696" s="1">
        <v>11</v>
      </c>
      <c r="K1696" s="1">
        <v>19</v>
      </c>
      <c r="L1696" s="1">
        <v>26</v>
      </c>
      <c r="M1696" s="1">
        <v>17</v>
      </c>
      <c r="N1696" s="1">
        <v>31</v>
      </c>
      <c r="O1696" s="1">
        <v>13</v>
      </c>
      <c r="P1696" s="1">
        <v>10</v>
      </c>
      <c r="Q1696" s="1">
        <v>6</v>
      </c>
      <c r="R1696" s="1">
        <v>9</v>
      </c>
      <c r="S1696" s="1">
        <v>8</v>
      </c>
      <c r="T1696" s="1">
        <v>14</v>
      </c>
      <c r="U1696" s="1">
        <v>9</v>
      </c>
      <c r="V1696" s="1">
        <v>9</v>
      </c>
    </row>
    <row r="1697" spans="1:22" x14ac:dyDescent="0.2">
      <c r="A1697" s="1" t="s">
        <v>1629</v>
      </c>
      <c r="B1697" s="1" t="s">
        <v>1704</v>
      </c>
      <c r="C1697" s="1">
        <v>91</v>
      </c>
      <c r="D1697" s="1">
        <v>32</v>
      </c>
      <c r="E1697" s="1">
        <v>47</v>
      </c>
      <c r="F1697" s="1">
        <v>14</v>
      </c>
      <c r="G1697" s="1">
        <v>43</v>
      </c>
      <c r="H1697" s="1">
        <v>25</v>
      </c>
      <c r="I1697" s="1">
        <v>30</v>
      </c>
      <c r="J1697" s="1">
        <v>25</v>
      </c>
      <c r="K1697" s="1">
        <v>21</v>
      </c>
      <c r="L1697" s="1">
        <v>43</v>
      </c>
      <c r="M1697" s="1">
        <v>32</v>
      </c>
      <c r="N1697" s="1">
        <v>22</v>
      </c>
      <c r="O1697" s="1">
        <v>34</v>
      </c>
      <c r="P1697" s="1">
        <v>30</v>
      </c>
      <c r="Q1697" s="1">
        <v>16</v>
      </c>
      <c r="R1697" s="1">
        <v>15</v>
      </c>
      <c r="S1697" s="1">
        <v>40</v>
      </c>
      <c r="T1697" s="1">
        <v>38</v>
      </c>
      <c r="U1697" s="1">
        <v>43</v>
      </c>
      <c r="V1697" s="1">
        <v>41</v>
      </c>
    </row>
    <row r="1698" spans="1:22" x14ac:dyDescent="0.2">
      <c r="A1698" s="1" t="s">
        <v>1629</v>
      </c>
      <c r="B1698" s="1" t="s">
        <v>1705</v>
      </c>
      <c r="C1698" s="1">
        <v>0</v>
      </c>
      <c r="D1698" s="1">
        <v>62</v>
      </c>
      <c r="E1698" s="1">
        <v>91</v>
      </c>
      <c r="F1698" s="1">
        <v>72</v>
      </c>
      <c r="G1698" s="1">
        <v>119</v>
      </c>
      <c r="H1698" s="1">
        <v>105</v>
      </c>
      <c r="I1698" s="1">
        <v>82</v>
      </c>
      <c r="J1698" s="1">
        <v>81</v>
      </c>
      <c r="K1698" s="1">
        <v>51</v>
      </c>
      <c r="L1698" s="1">
        <v>94</v>
      </c>
      <c r="M1698" s="1">
        <v>97</v>
      </c>
      <c r="N1698" s="1">
        <v>184</v>
      </c>
      <c r="O1698" s="1">
        <v>135</v>
      </c>
      <c r="P1698" s="1">
        <v>259</v>
      </c>
      <c r="Q1698" s="1">
        <v>254</v>
      </c>
      <c r="R1698" s="1">
        <v>269</v>
      </c>
      <c r="S1698" s="1">
        <v>464</v>
      </c>
      <c r="T1698" s="1">
        <v>386</v>
      </c>
      <c r="U1698" s="1">
        <v>367</v>
      </c>
      <c r="V1698" s="1">
        <v>345</v>
      </c>
    </row>
    <row r="1699" spans="1:22" x14ac:dyDescent="0.2">
      <c r="A1699" s="1" t="s">
        <v>1629</v>
      </c>
      <c r="B1699" s="1" t="s">
        <v>1706</v>
      </c>
      <c r="C1699" s="1">
        <v>0</v>
      </c>
      <c r="D1699" s="1">
        <v>0</v>
      </c>
      <c r="E1699" s="1">
        <v>0</v>
      </c>
      <c r="F1699" s="1">
        <v>0</v>
      </c>
      <c r="G1699" s="1">
        <v>0</v>
      </c>
      <c r="H1699" s="1">
        <v>0</v>
      </c>
      <c r="I1699" s="1">
        <v>0</v>
      </c>
      <c r="J1699" s="1">
        <v>0</v>
      </c>
      <c r="K1699" s="1">
        <v>0</v>
      </c>
      <c r="L1699" s="1">
        <v>0</v>
      </c>
      <c r="M1699" s="1">
        <v>1</v>
      </c>
      <c r="N1699" s="1">
        <v>0</v>
      </c>
      <c r="V1699" s="1">
        <v>0</v>
      </c>
    </row>
    <row r="1700" spans="1:22" x14ac:dyDescent="0.2">
      <c r="A1700" s="1" t="s">
        <v>1629</v>
      </c>
      <c r="B1700" s="1" t="s">
        <v>1707</v>
      </c>
      <c r="C1700" s="1">
        <v>7</v>
      </c>
      <c r="D1700" s="1">
        <v>11</v>
      </c>
      <c r="E1700" s="1">
        <v>14</v>
      </c>
      <c r="F1700" s="1">
        <v>32</v>
      </c>
      <c r="G1700" s="1">
        <v>27</v>
      </c>
      <c r="H1700" s="1">
        <v>27</v>
      </c>
      <c r="I1700" s="1">
        <v>23</v>
      </c>
      <c r="J1700" s="1">
        <v>54</v>
      </c>
      <c r="K1700" s="1">
        <v>125</v>
      </c>
      <c r="L1700" s="1">
        <v>219</v>
      </c>
      <c r="M1700" s="1">
        <v>379</v>
      </c>
      <c r="N1700" s="1">
        <v>457</v>
      </c>
      <c r="O1700" s="1">
        <v>622</v>
      </c>
      <c r="P1700" s="1">
        <v>597</v>
      </c>
      <c r="Q1700" s="1">
        <v>694</v>
      </c>
      <c r="R1700" s="1">
        <v>910</v>
      </c>
      <c r="S1700" s="1">
        <v>936</v>
      </c>
      <c r="T1700" s="1">
        <v>956</v>
      </c>
      <c r="U1700" s="1">
        <v>1043</v>
      </c>
      <c r="V1700" s="1">
        <v>1432</v>
      </c>
    </row>
    <row r="1701" spans="1:22" x14ac:dyDescent="0.2">
      <c r="A1701" s="1" t="s">
        <v>1629</v>
      </c>
      <c r="B1701" s="1" t="s">
        <v>1708</v>
      </c>
      <c r="C1701" s="1">
        <v>0</v>
      </c>
      <c r="D1701" s="1">
        <v>0</v>
      </c>
      <c r="E1701" s="1">
        <v>0</v>
      </c>
      <c r="F1701" s="1">
        <v>0</v>
      </c>
      <c r="G1701" s="1">
        <v>0</v>
      </c>
      <c r="H1701" s="1">
        <v>0</v>
      </c>
      <c r="I1701" s="1">
        <v>0</v>
      </c>
      <c r="J1701" s="1">
        <v>0</v>
      </c>
      <c r="K1701" s="1">
        <v>0</v>
      </c>
      <c r="L1701" s="1">
        <v>0</v>
      </c>
      <c r="M1701" s="1">
        <v>0</v>
      </c>
      <c r="N1701" s="1">
        <v>0</v>
      </c>
      <c r="O1701" s="1">
        <v>0</v>
      </c>
      <c r="P1701" s="1">
        <v>0</v>
      </c>
      <c r="Q1701" s="1">
        <v>1</v>
      </c>
      <c r="R1701" s="1">
        <v>1</v>
      </c>
      <c r="S1701" s="1">
        <v>0</v>
      </c>
      <c r="T1701" s="1">
        <v>0</v>
      </c>
      <c r="U1701" s="1">
        <v>0</v>
      </c>
      <c r="V1701" s="1">
        <v>0</v>
      </c>
    </row>
    <row r="1702" spans="1:22" x14ac:dyDescent="0.2">
      <c r="A1702" s="1" t="s">
        <v>1629</v>
      </c>
      <c r="B1702" s="1" t="s">
        <v>1709</v>
      </c>
      <c r="C1702" s="1">
        <v>0</v>
      </c>
      <c r="D1702" s="1">
        <v>0</v>
      </c>
      <c r="E1702" s="1">
        <v>0</v>
      </c>
      <c r="F1702" s="1">
        <v>0</v>
      </c>
      <c r="G1702" s="1">
        <v>0</v>
      </c>
      <c r="H1702" s="1">
        <v>0</v>
      </c>
      <c r="I1702" s="1">
        <v>1</v>
      </c>
      <c r="J1702" s="1">
        <v>0</v>
      </c>
      <c r="K1702" s="1">
        <v>4</v>
      </c>
      <c r="L1702" s="1">
        <v>10</v>
      </c>
      <c r="M1702" s="1">
        <v>1</v>
      </c>
      <c r="N1702" s="1">
        <v>2</v>
      </c>
      <c r="O1702" s="1">
        <v>2</v>
      </c>
      <c r="P1702" s="1">
        <v>0</v>
      </c>
      <c r="Q1702" s="1">
        <v>1</v>
      </c>
      <c r="R1702" s="1">
        <v>0</v>
      </c>
      <c r="S1702" s="1">
        <v>0</v>
      </c>
      <c r="T1702" s="1">
        <v>0</v>
      </c>
      <c r="U1702" s="1">
        <v>0</v>
      </c>
      <c r="V1702" s="1">
        <v>4</v>
      </c>
    </row>
    <row r="1703" spans="1:22" x14ac:dyDescent="0.2">
      <c r="A1703" s="1" t="s">
        <v>1629</v>
      </c>
      <c r="B1703" s="1" t="s">
        <v>1710</v>
      </c>
      <c r="C1703" s="1">
        <v>0</v>
      </c>
      <c r="D1703" s="1">
        <v>0</v>
      </c>
      <c r="E1703" s="1">
        <v>0</v>
      </c>
      <c r="F1703" s="1">
        <v>0</v>
      </c>
      <c r="G1703" s="1">
        <v>0</v>
      </c>
      <c r="H1703" s="1">
        <v>0</v>
      </c>
      <c r="I1703" s="1">
        <v>0</v>
      </c>
      <c r="J1703" s="1">
        <v>0</v>
      </c>
      <c r="K1703" s="1">
        <v>0</v>
      </c>
      <c r="L1703" s="1">
        <v>0</v>
      </c>
      <c r="M1703" s="1">
        <v>0</v>
      </c>
      <c r="N1703" s="1">
        <v>1</v>
      </c>
      <c r="O1703" s="1">
        <v>0</v>
      </c>
      <c r="P1703" s="1">
        <v>0</v>
      </c>
      <c r="Q1703" s="1">
        <v>0</v>
      </c>
      <c r="R1703" s="1">
        <v>0</v>
      </c>
      <c r="S1703" s="1">
        <v>1</v>
      </c>
      <c r="T1703" s="1">
        <v>0</v>
      </c>
      <c r="U1703" s="1">
        <v>0</v>
      </c>
      <c r="V1703" s="1">
        <v>0</v>
      </c>
    </row>
    <row r="1704" spans="1:22" x14ac:dyDescent="0.2">
      <c r="A1704" s="1" t="s">
        <v>1629</v>
      </c>
      <c r="B1704" s="1" t="s">
        <v>1711</v>
      </c>
      <c r="C1704" s="1">
        <v>17</v>
      </c>
      <c r="D1704" s="1">
        <v>27</v>
      </c>
      <c r="E1704" s="1">
        <v>21</v>
      </c>
      <c r="F1704" s="1">
        <v>19</v>
      </c>
      <c r="G1704" s="1">
        <v>18</v>
      </c>
      <c r="H1704" s="1">
        <v>12</v>
      </c>
      <c r="I1704" s="1">
        <v>24</v>
      </c>
      <c r="J1704" s="1">
        <v>15</v>
      </c>
      <c r="K1704" s="1">
        <v>18</v>
      </c>
      <c r="L1704" s="1">
        <v>20</v>
      </c>
      <c r="M1704" s="1">
        <v>21</v>
      </c>
      <c r="N1704" s="1">
        <v>13</v>
      </c>
      <c r="O1704" s="1">
        <v>17</v>
      </c>
      <c r="P1704" s="1">
        <v>19</v>
      </c>
      <c r="Q1704" s="1">
        <v>42</v>
      </c>
      <c r="R1704" s="1">
        <v>10</v>
      </c>
      <c r="S1704" s="1">
        <v>5</v>
      </c>
      <c r="T1704" s="1">
        <v>9</v>
      </c>
      <c r="U1704" s="1">
        <v>46</v>
      </c>
      <c r="V1704" s="1">
        <v>36</v>
      </c>
    </row>
    <row r="1705" spans="1:22" x14ac:dyDescent="0.2">
      <c r="A1705" s="1" t="s">
        <v>1629</v>
      </c>
      <c r="B1705" s="1" t="s">
        <v>1712</v>
      </c>
      <c r="C1705" s="1">
        <v>4</v>
      </c>
      <c r="D1705" s="1">
        <v>6</v>
      </c>
      <c r="E1705" s="1">
        <v>9</v>
      </c>
      <c r="F1705" s="1">
        <v>13</v>
      </c>
      <c r="G1705" s="1">
        <v>10</v>
      </c>
      <c r="H1705" s="1">
        <v>6</v>
      </c>
      <c r="I1705" s="1">
        <v>16</v>
      </c>
      <c r="J1705" s="1">
        <v>6</v>
      </c>
      <c r="K1705" s="1">
        <v>5</v>
      </c>
      <c r="L1705" s="1">
        <v>3</v>
      </c>
      <c r="M1705" s="1">
        <v>0</v>
      </c>
      <c r="N1705" s="1">
        <v>3</v>
      </c>
      <c r="O1705" s="1">
        <v>3</v>
      </c>
      <c r="P1705" s="1">
        <v>2</v>
      </c>
      <c r="Q1705" s="1">
        <v>5</v>
      </c>
      <c r="R1705" s="1">
        <v>6</v>
      </c>
      <c r="S1705" s="1">
        <v>6</v>
      </c>
      <c r="T1705" s="1">
        <v>5</v>
      </c>
      <c r="U1705" s="1">
        <v>3</v>
      </c>
      <c r="V1705" s="1">
        <v>5</v>
      </c>
    </row>
    <row r="1706" spans="1:22" x14ac:dyDescent="0.2">
      <c r="A1706" s="1" t="s">
        <v>1629</v>
      </c>
      <c r="B1706" s="1" t="s">
        <v>1713</v>
      </c>
      <c r="C1706" s="1">
        <v>0</v>
      </c>
      <c r="D1706" s="1">
        <v>0</v>
      </c>
      <c r="E1706" s="1">
        <v>0</v>
      </c>
      <c r="F1706" s="1">
        <v>0</v>
      </c>
      <c r="G1706" s="1">
        <v>0</v>
      </c>
      <c r="H1706" s="1">
        <v>9</v>
      </c>
      <c r="I1706" s="1">
        <v>6</v>
      </c>
      <c r="J1706" s="1">
        <v>32</v>
      </c>
      <c r="K1706" s="1">
        <v>23</v>
      </c>
      <c r="L1706" s="1">
        <v>8</v>
      </c>
      <c r="M1706" s="1">
        <v>18</v>
      </c>
      <c r="N1706" s="1">
        <v>9</v>
      </c>
      <c r="O1706" s="1">
        <v>22</v>
      </c>
      <c r="P1706" s="1">
        <v>11</v>
      </c>
      <c r="Q1706" s="1">
        <v>10</v>
      </c>
      <c r="R1706" s="1">
        <v>7</v>
      </c>
      <c r="S1706" s="1">
        <v>5</v>
      </c>
      <c r="T1706" s="1">
        <v>22</v>
      </c>
      <c r="U1706" s="1">
        <v>3</v>
      </c>
      <c r="V1706" s="1">
        <v>4</v>
      </c>
    </row>
    <row r="1707" spans="1:22" x14ac:dyDescent="0.2">
      <c r="A1707" s="1" t="s">
        <v>1629</v>
      </c>
      <c r="B1707" s="1" t="s">
        <v>1714</v>
      </c>
      <c r="C1707" s="1">
        <v>0</v>
      </c>
      <c r="D1707" s="1">
        <v>0</v>
      </c>
      <c r="E1707" s="1">
        <v>0</v>
      </c>
      <c r="F1707" s="1">
        <v>0</v>
      </c>
      <c r="G1707" s="1">
        <v>0</v>
      </c>
      <c r="H1707" s="1">
        <v>0</v>
      </c>
      <c r="I1707" s="1">
        <v>0</v>
      </c>
      <c r="J1707" s="1">
        <v>2</v>
      </c>
      <c r="K1707" s="1">
        <v>4</v>
      </c>
      <c r="L1707" s="1">
        <v>2</v>
      </c>
      <c r="M1707" s="1">
        <v>0</v>
      </c>
      <c r="N1707" s="1">
        <v>0</v>
      </c>
      <c r="O1707" s="1">
        <v>0</v>
      </c>
      <c r="P1707" s="1">
        <v>1</v>
      </c>
      <c r="Q1707" s="1">
        <v>2</v>
      </c>
      <c r="R1707" s="1">
        <v>0</v>
      </c>
      <c r="S1707" s="1">
        <v>0</v>
      </c>
      <c r="T1707" s="1">
        <v>2</v>
      </c>
      <c r="U1707" s="1">
        <v>0</v>
      </c>
      <c r="V1707" s="1">
        <v>0</v>
      </c>
    </row>
    <row r="1708" spans="1:22" x14ac:dyDescent="0.2">
      <c r="A1708" s="1" t="s">
        <v>1629</v>
      </c>
      <c r="B1708" s="1" t="s">
        <v>1715</v>
      </c>
      <c r="C1708" s="1">
        <v>0</v>
      </c>
      <c r="D1708" s="1">
        <v>0</v>
      </c>
      <c r="E1708" s="1">
        <v>0</v>
      </c>
      <c r="F1708" s="1">
        <v>4</v>
      </c>
      <c r="G1708" s="1">
        <v>2</v>
      </c>
      <c r="H1708" s="1">
        <v>3</v>
      </c>
      <c r="I1708" s="1">
        <v>2</v>
      </c>
      <c r="J1708" s="1">
        <v>1</v>
      </c>
      <c r="K1708" s="1">
        <v>1</v>
      </c>
      <c r="L1708" s="1">
        <v>2</v>
      </c>
      <c r="M1708" s="1">
        <v>6</v>
      </c>
      <c r="N1708" s="1">
        <v>2</v>
      </c>
      <c r="O1708" s="1">
        <v>5</v>
      </c>
      <c r="P1708" s="1">
        <v>9</v>
      </c>
      <c r="Q1708" s="1">
        <v>10</v>
      </c>
      <c r="R1708" s="1">
        <v>26</v>
      </c>
      <c r="S1708" s="1">
        <v>0</v>
      </c>
      <c r="T1708" s="1">
        <v>0</v>
      </c>
      <c r="U1708" s="1">
        <v>0</v>
      </c>
      <c r="V1708" s="1">
        <v>7</v>
      </c>
    </row>
    <row r="1709" spans="1:22" x14ac:dyDescent="0.2">
      <c r="A1709" s="1" t="s">
        <v>1629</v>
      </c>
      <c r="B1709" s="1" t="s">
        <v>1716</v>
      </c>
      <c r="C1709" s="1">
        <v>0</v>
      </c>
      <c r="D1709" s="1">
        <v>0</v>
      </c>
      <c r="E1709" s="1">
        <v>0</v>
      </c>
      <c r="F1709" s="1">
        <v>0</v>
      </c>
      <c r="G1709" s="1">
        <v>0</v>
      </c>
      <c r="H1709" s="1">
        <v>0</v>
      </c>
      <c r="I1709" s="1">
        <v>0</v>
      </c>
      <c r="J1709" s="1">
        <v>0</v>
      </c>
      <c r="K1709" s="1">
        <v>0</v>
      </c>
      <c r="L1709" s="1">
        <v>0</v>
      </c>
      <c r="M1709" s="1">
        <v>0</v>
      </c>
      <c r="N1709" s="1">
        <v>0</v>
      </c>
      <c r="V1709" s="1">
        <v>71</v>
      </c>
    </row>
    <row r="1710" spans="1:22" x14ac:dyDescent="0.2">
      <c r="A1710" s="1" t="s">
        <v>1629</v>
      </c>
      <c r="B1710" s="1" t="s">
        <v>1717</v>
      </c>
      <c r="C1710" s="1">
        <v>0</v>
      </c>
      <c r="D1710" s="1">
        <v>0</v>
      </c>
      <c r="E1710" s="1">
        <v>0</v>
      </c>
      <c r="F1710" s="1">
        <v>0</v>
      </c>
      <c r="G1710" s="1">
        <v>0</v>
      </c>
      <c r="H1710" s="1">
        <v>0</v>
      </c>
      <c r="I1710" s="1">
        <v>0</v>
      </c>
      <c r="J1710" s="1">
        <v>0</v>
      </c>
      <c r="K1710" s="1">
        <v>0</v>
      </c>
      <c r="L1710" s="1">
        <v>0</v>
      </c>
      <c r="M1710" s="1">
        <v>0</v>
      </c>
      <c r="N1710" s="1">
        <v>0</v>
      </c>
      <c r="O1710" s="1">
        <v>0</v>
      </c>
      <c r="P1710" s="1">
        <v>0</v>
      </c>
      <c r="Q1710" s="1">
        <v>0</v>
      </c>
      <c r="R1710" s="1">
        <v>0</v>
      </c>
      <c r="S1710" s="1">
        <v>0</v>
      </c>
      <c r="T1710" s="1">
        <v>64</v>
      </c>
      <c r="U1710" s="1">
        <v>9</v>
      </c>
      <c r="V1710" s="1">
        <v>54</v>
      </c>
    </row>
    <row r="1711" spans="1:22" x14ac:dyDescent="0.2">
      <c r="A1711" s="1" t="s">
        <v>1629</v>
      </c>
      <c r="B1711" s="1" t="s">
        <v>1718</v>
      </c>
      <c r="C1711" s="1">
        <v>0</v>
      </c>
      <c r="D1711" s="1">
        <v>0</v>
      </c>
      <c r="E1711" s="1">
        <v>0</v>
      </c>
      <c r="F1711" s="1">
        <v>0</v>
      </c>
      <c r="G1711" s="1">
        <v>0</v>
      </c>
      <c r="H1711" s="1">
        <v>0</v>
      </c>
      <c r="I1711" s="1">
        <v>0</v>
      </c>
      <c r="J1711" s="1">
        <v>0</v>
      </c>
      <c r="K1711" s="1">
        <v>0</v>
      </c>
      <c r="L1711" s="1">
        <v>3</v>
      </c>
      <c r="M1711" s="1">
        <v>1</v>
      </c>
      <c r="N1711" s="1">
        <v>1</v>
      </c>
      <c r="O1711" s="1">
        <v>0</v>
      </c>
      <c r="P1711" s="1">
        <v>1</v>
      </c>
      <c r="Q1711" s="1">
        <v>6</v>
      </c>
      <c r="R1711" s="1">
        <v>1</v>
      </c>
      <c r="S1711" s="1">
        <v>0</v>
      </c>
      <c r="T1711" s="1">
        <v>0</v>
      </c>
      <c r="U1711" s="1">
        <v>0</v>
      </c>
      <c r="V1711" s="1">
        <v>0</v>
      </c>
    </row>
    <row r="1712" spans="1:22" x14ac:dyDescent="0.2">
      <c r="A1712" s="1" t="s">
        <v>1629</v>
      </c>
      <c r="B1712" s="1" t="s">
        <v>1719</v>
      </c>
      <c r="C1712" s="1">
        <v>0</v>
      </c>
      <c r="D1712" s="1">
        <v>0</v>
      </c>
      <c r="E1712" s="1">
        <v>0</v>
      </c>
      <c r="F1712" s="1">
        <v>0</v>
      </c>
      <c r="G1712" s="1">
        <v>0</v>
      </c>
      <c r="H1712" s="1">
        <v>0</v>
      </c>
      <c r="I1712" s="1">
        <v>2</v>
      </c>
      <c r="J1712" s="1">
        <v>5</v>
      </c>
      <c r="K1712" s="1">
        <v>8</v>
      </c>
      <c r="L1712" s="1">
        <v>5</v>
      </c>
      <c r="M1712" s="1">
        <v>8</v>
      </c>
      <c r="N1712" s="1">
        <v>6</v>
      </c>
      <c r="O1712" s="1">
        <v>14</v>
      </c>
      <c r="P1712" s="1">
        <v>2</v>
      </c>
      <c r="Q1712" s="1">
        <v>4</v>
      </c>
      <c r="R1712" s="1">
        <v>2</v>
      </c>
      <c r="S1712" s="1">
        <v>1</v>
      </c>
      <c r="T1712" s="1">
        <v>5</v>
      </c>
      <c r="U1712" s="1">
        <v>2</v>
      </c>
      <c r="V1712" s="1">
        <v>4</v>
      </c>
    </row>
    <row r="1713" spans="1:22" x14ac:dyDescent="0.2">
      <c r="A1713" s="1" t="s">
        <v>1629</v>
      </c>
      <c r="B1713" s="1" t="s">
        <v>1720</v>
      </c>
      <c r="C1713" s="1">
        <f t="shared" ref="C1713:V1713" si="272">SUM(C1714:C1720)</f>
        <v>1341</v>
      </c>
      <c r="D1713" s="1">
        <f t="shared" si="272"/>
        <v>1317</v>
      </c>
      <c r="E1713" s="1">
        <f t="shared" si="272"/>
        <v>1794</v>
      </c>
      <c r="F1713" s="1">
        <f t="shared" si="272"/>
        <v>2494</v>
      </c>
      <c r="G1713" s="1">
        <f t="shared" si="272"/>
        <v>2351</v>
      </c>
      <c r="H1713" s="1">
        <f t="shared" si="272"/>
        <v>2345</v>
      </c>
      <c r="I1713" s="1">
        <f t="shared" si="272"/>
        <v>2282</v>
      </c>
      <c r="J1713" s="1">
        <f t="shared" si="272"/>
        <v>2739</v>
      </c>
      <c r="K1713" s="1">
        <f t="shared" si="272"/>
        <v>3306</v>
      </c>
      <c r="L1713" s="1">
        <f>SUM(L1714:L1720)</f>
        <v>3750</v>
      </c>
      <c r="M1713" s="1">
        <f>SUM(M1714:M1720)</f>
        <v>4283</v>
      </c>
      <c r="N1713" s="1">
        <f>SUM(N1714:N1720)</f>
        <v>4529</v>
      </c>
      <c r="O1713" s="1">
        <f t="shared" si="272"/>
        <v>3151</v>
      </c>
      <c r="P1713" s="1">
        <f t="shared" si="272"/>
        <v>3896</v>
      </c>
      <c r="Q1713" s="1">
        <f t="shared" si="272"/>
        <v>3985</v>
      </c>
      <c r="R1713" s="1">
        <f t="shared" si="272"/>
        <v>4619</v>
      </c>
      <c r="S1713" s="1">
        <f t="shared" si="272"/>
        <v>4660</v>
      </c>
      <c r="T1713" s="1">
        <f t="shared" si="272"/>
        <v>5347</v>
      </c>
      <c r="U1713" s="1">
        <f t="shared" si="272"/>
        <v>3554</v>
      </c>
      <c r="V1713" s="1">
        <f t="shared" si="272"/>
        <v>3676</v>
      </c>
    </row>
    <row r="1714" spans="1:22" x14ac:dyDescent="0.2">
      <c r="A1714" s="1" t="s">
        <v>1629</v>
      </c>
      <c r="B1714" s="1" t="s">
        <v>1721</v>
      </c>
      <c r="C1714" s="1">
        <v>729</v>
      </c>
      <c r="D1714" s="1">
        <v>755</v>
      </c>
      <c r="E1714" s="1">
        <v>1119</v>
      </c>
      <c r="F1714" s="1">
        <v>1783</v>
      </c>
      <c r="G1714" s="1">
        <v>1625</v>
      </c>
      <c r="H1714" s="1">
        <v>1620</v>
      </c>
      <c r="I1714" s="1">
        <v>1571</v>
      </c>
      <c r="J1714" s="1">
        <v>1914</v>
      </c>
      <c r="K1714" s="1">
        <v>2441</v>
      </c>
      <c r="L1714" s="1">
        <v>2843</v>
      </c>
      <c r="M1714" s="1">
        <v>3349</v>
      </c>
      <c r="N1714" s="1">
        <v>3605</v>
      </c>
      <c r="O1714" s="1">
        <v>2346</v>
      </c>
      <c r="P1714" s="1">
        <v>3097</v>
      </c>
      <c r="Q1714" s="1">
        <v>3213</v>
      </c>
      <c r="R1714" s="1">
        <v>3677</v>
      </c>
      <c r="S1714" s="1">
        <v>3682</v>
      </c>
      <c r="T1714" s="1">
        <v>4380</v>
      </c>
      <c r="U1714" s="1">
        <v>2621</v>
      </c>
      <c r="V1714" s="1">
        <v>2806</v>
      </c>
    </row>
    <row r="1715" spans="1:22" x14ac:dyDescent="0.2">
      <c r="A1715" s="1" t="s">
        <v>1629</v>
      </c>
      <c r="B1715" s="1" t="s">
        <v>1722</v>
      </c>
      <c r="C1715" s="1">
        <v>67</v>
      </c>
      <c r="D1715" s="1">
        <v>42</v>
      </c>
      <c r="E1715" s="1">
        <v>64</v>
      </c>
      <c r="F1715" s="1">
        <v>68</v>
      </c>
      <c r="G1715" s="1">
        <v>112</v>
      </c>
      <c r="H1715" s="1">
        <v>86</v>
      </c>
      <c r="I1715" s="1">
        <v>96</v>
      </c>
      <c r="J1715" s="1">
        <v>83</v>
      </c>
      <c r="K1715" s="1">
        <v>78</v>
      </c>
      <c r="L1715" s="1">
        <v>86</v>
      </c>
      <c r="M1715" s="1">
        <v>75</v>
      </c>
      <c r="N1715" s="1">
        <v>73</v>
      </c>
      <c r="O1715" s="1">
        <v>63</v>
      </c>
      <c r="P1715" s="1">
        <v>107</v>
      </c>
      <c r="Q1715" s="1">
        <v>89</v>
      </c>
      <c r="R1715" s="1">
        <v>172</v>
      </c>
      <c r="S1715" s="1">
        <v>149</v>
      </c>
      <c r="T1715" s="1">
        <v>180</v>
      </c>
      <c r="U1715" s="1">
        <v>149</v>
      </c>
      <c r="V1715" s="1">
        <v>228</v>
      </c>
    </row>
    <row r="1716" spans="1:22" x14ac:dyDescent="0.2">
      <c r="A1716" s="1" t="s">
        <v>1629</v>
      </c>
      <c r="B1716" s="1" t="s">
        <v>1723</v>
      </c>
      <c r="C1716" s="1">
        <v>1</v>
      </c>
      <c r="D1716" s="1">
        <v>2</v>
      </c>
      <c r="E1716" s="1">
        <v>3</v>
      </c>
      <c r="F1716" s="1">
        <v>1</v>
      </c>
      <c r="G1716" s="1">
        <v>0</v>
      </c>
      <c r="H1716" s="1">
        <v>1</v>
      </c>
      <c r="I1716" s="1">
        <v>0</v>
      </c>
      <c r="J1716" s="1">
        <v>0</v>
      </c>
      <c r="K1716" s="1">
        <v>0</v>
      </c>
      <c r="L1716" s="1">
        <v>0</v>
      </c>
      <c r="M1716" s="1">
        <v>0</v>
      </c>
      <c r="N1716" s="1">
        <v>1</v>
      </c>
      <c r="O1716" s="1">
        <v>2</v>
      </c>
      <c r="P1716" s="1">
        <v>0</v>
      </c>
      <c r="Q1716" s="1">
        <v>0</v>
      </c>
      <c r="R1716" s="1">
        <v>1</v>
      </c>
      <c r="S1716" s="1">
        <v>0</v>
      </c>
      <c r="T1716" s="1">
        <v>0</v>
      </c>
      <c r="U1716" s="1">
        <v>0</v>
      </c>
      <c r="V1716" s="1">
        <v>0</v>
      </c>
    </row>
    <row r="1717" spans="1:22" x14ac:dyDescent="0.2">
      <c r="A1717" s="1" t="s">
        <v>1629</v>
      </c>
      <c r="B1717" s="1" t="s">
        <v>1724</v>
      </c>
      <c r="C1717" s="1">
        <v>273</v>
      </c>
      <c r="D1717" s="1">
        <v>223</v>
      </c>
      <c r="E1717" s="1">
        <v>276</v>
      </c>
      <c r="F1717" s="1">
        <v>299</v>
      </c>
      <c r="G1717" s="1">
        <v>290</v>
      </c>
      <c r="H1717" s="1">
        <v>289</v>
      </c>
      <c r="I1717" s="1">
        <v>286</v>
      </c>
      <c r="J1717" s="1">
        <v>307</v>
      </c>
      <c r="K1717" s="1">
        <v>314</v>
      </c>
      <c r="L1717" s="1">
        <v>336</v>
      </c>
      <c r="M1717" s="1">
        <v>166</v>
      </c>
      <c r="N1717" s="1">
        <v>124</v>
      </c>
      <c r="O1717" s="1">
        <v>19</v>
      </c>
      <c r="P1717" s="1">
        <v>0</v>
      </c>
      <c r="Q1717" s="1">
        <v>0</v>
      </c>
      <c r="R1717" s="1">
        <v>5</v>
      </c>
      <c r="S1717" s="1">
        <v>0</v>
      </c>
      <c r="T1717" s="1">
        <v>13</v>
      </c>
      <c r="U1717" s="1">
        <v>0</v>
      </c>
      <c r="V1717" s="1">
        <v>0</v>
      </c>
    </row>
    <row r="1718" spans="1:22" x14ac:dyDescent="0.2">
      <c r="A1718" s="1" t="s">
        <v>1629</v>
      </c>
      <c r="B1718" s="1" t="s">
        <v>1725</v>
      </c>
      <c r="C1718" s="1">
        <v>0</v>
      </c>
      <c r="D1718" s="1">
        <v>0</v>
      </c>
      <c r="E1718" s="1">
        <v>0</v>
      </c>
      <c r="F1718" s="1">
        <v>0</v>
      </c>
      <c r="G1718" s="1">
        <v>0</v>
      </c>
      <c r="H1718" s="1">
        <v>0</v>
      </c>
      <c r="I1718" s="1">
        <v>0</v>
      </c>
      <c r="J1718" s="1">
        <v>0</v>
      </c>
      <c r="K1718" s="1">
        <v>0</v>
      </c>
      <c r="L1718" s="1">
        <v>0</v>
      </c>
      <c r="M1718" s="1">
        <v>230</v>
      </c>
      <c r="N1718" s="1">
        <v>269</v>
      </c>
      <c r="O1718" s="1">
        <v>293</v>
      </c>
      <c r="P1718" s="1">
        <v>307</v>
      </c>
      <c r="Q1718" s="1">
        <v>275</v>
      </c>
      <c r="R1718" s="1">
        <v>321</v>
      </c>
      <c r="S1718" s="1">
        <v>345</v>
      </c>
      <c r="T1718" s="1">
        <v>338</v>
      </c>
      <c r="U1718" s="1">
        <v>342</v>
      </c>
      <c r="V1718" s="1">
        <v>359</v>
      </c>
    </row>
    <row r="1719" spans="1:22" x14ac:dyDescent="0.2">
      <c r="A1719" s="1" t="s">
        <v>1629</v>
      </c>
      <c r="B1719" s="1" t="s">
        <v>1726</v>
      </c>
      <c r="C1719" s="1">
        <v>271</v>
      </c>
      <c r="D1719" s="1">
        <v>295</v>
      </c>
      <c r="E1719" s="1">
        <v>332</v>
      </c>
      <c r="F1719" s="1">
        <v>343</v>
      </c>
      <c r="G1719" s="1">
        <v>324</v>
      </c>
      <c r="H1719" s="1">
        <v>349</v>
      </c>
      <c r="I1719" s="1">
        <v>329</v>
      </c>
      <c r="J1719" s="1">
        <v>435</v>
      </c>
      <c r="K1719" s="1">
        <v>473</v>
      </c>
      <c r="L1719" s="1">
        <v>485</v>
      </c>
      <c r="M1719" s="1">
        <v>463</v>
      </c>
      <c r="N1719" s="1">
        <v>457</v>
      </c>
      <c r="O1719" s="1">
        <v>428</v>
      </c>
      <c r="P1719" s="1">
        <v>384</v>
      </c>
      <c r="Q1719" s="1">
        <v>408</v>
      </c>
      <c r="R1719" s="1">
        <v>443</v>
      </c>
      <c r="S1719" s="1">
        <v>484</v>
      </c>
      <c r="T1719" s="1">
        <v>436</v>
      </c>
      <c r="U1719" s="1">
        <v>442</v>
      </c>
      <c r="V1719" s="1">
        <v>281</v>
      </c>
    </row>
    <row r="1720" spans="1:22" x14ac:dyDescent="0.2">
      <c r="A1720" s="1" t="s">
        <v>1629</v>
      </c>
      <c r="B1720" s="1" t="s">
        <v>1727</v>
      </c>
      <c r="C1720" s="1">
        <v>0</v>
      </c>
      <c r="D1720" s="1">
        <v>0</v>
      </c>
      <c r="E1720" s="1">
        <v>0</v>
      </c>
      <c r="F1720" s="1">
        <v>0</v>
      </c>
      <c r="G1720" s="1">
        <v>0</v>
      </c>
      <c r="H1720" s="1">
        <v>0</v>
      </c>
      <c r="I1720" s="1">
        <v>0</v>
      </c>
      <c r="J1720" s="1">
        <v>0</v>
      </c>
      <c r="K1720" s="1">
        <v>0</v>
      </c>
      <c r="L1720" s="1">
        <v>0</v>
      </c>
      <c r="M1720" s="1">
        <v>0</v>
      </c>
      <c r="N1720" s="1">
        <v>0</v>
      </c>
      <c r="O1720" s="1">
        <v>0</v>
      </c>
      <c r="P1720" s="1">
        <v>1</v>
      </c>
      <c r="Q1720" s="1">
        <v>0</v>
      </c>
      <c r="R1720" s="1">
        <v>0</v>
      </c>
      <c r="S1720" s="1">
        <v>0</v>
      </c>
      <c r="T1720" s="1">
        <v>0</v>
      </c>
      <c r="U1720" s="1">
        <v>0</v>
      </c>
      <c r="V1720" s="1">
        <v>2</v>
      </c>
    </row>
    <row r="1721" spans="1:22" x14ac:dyDescent="0.2">
      <c r="A1721" s="1" t="s">
        <v>1629</v>
      </c>
      <c r="B1721" s="1" t="s">
        <v>1728</v>
      </c>
      <c r="C1721" s="1">
        <f t="shared" ref="C1721:K1721" si="273">SUM(C1722:C1725)</f>
        <v>1</v>
      </c>
      <c r="D1721" s="1">
        <f t="shared" si="273"/>
        <v>0</v>
      </c>
      <c r="E1721" s="1">
        <f t="shared" si="273"/>
        <v>0</v>
      </c>
      <c r="F1721" s="1">
        <f t="shared" si="273"/>
        <v>0</v>
      </c>
      <c r="G1721" s="1">
        <f t="shared" si="273"/>
        <v>0</v>
      </c>
      <c r="H1721" s="1">
        <f t="shared" si="273"/>
        <v>1</v>
      </c>
      <c r="I1721" s="1">
        <f t="shared" si="273"/>
        <v>2</v>
      </c>
      <c r="J1721" s="1">
        <f t="shared" si="273"/>
        <v>0</v>
      </c>
      <c r="K1721" s="1">
        <f t="shared" si="273"/>
        <v>1</v>
      </c>
      <c r="L1721" s="1">
        <f>SUM(L1722:L1725)</f>
        <v>2</v>
      </c>
      <c r="M1721" s="1">
        <f>SUM(M1722:M1725)</f>
        <v>0</v>
      </c>
      <c r="N1721" s="1">
        <f>SUM(N1722:N1725)</f>
        <v>0</v>
      </c>
      <c r="O1721" s="1">
        <f t="shared" ref="O1721:V1721" si="274">SUM(O1722:O1725)</f>
        <v>1</v>
      </c>
      <c r="P1721" s="1">
        <f t="shared" si="274"/>
        <v>0</v>
      </c>
      <c r="Q1721" s="1">
        <f t="shared" si="274"/>
        <v>4</v>
      </c>
      <c r="R1721" s="1">
        <f t="shared" si="274"/>
        <v>0</v>
      </c>
      <c r="S1721" s="1">
        <f t="shared" si="274"/>
        <v>1</v>
      </c>
      <c r="T1721" s="1">
        <f t="shared" si="274"/>
        <v>1</v>
      </c>
      <c r="U1721" s="1">
        <f t="shared" si="274"/>
        <v>0</v>
      </c>
      <c r="V1721" s="1">
        <f t="shared" si="274"/>
        <v>1</v>
      </c>
    </row>
    <row r="1722" spans="1:22" x14ac:dyDescent="0.2">
      <c r="A1722" s="1" t="s">
        <v>1629</v>
      </c>
      <c r="B1722" s="1" t="s">
        <v>1729</v>
      </c>
      <c r="C1722" s="1">
        <v>1</v>
      </c>
      <c r="D1722" s="1">
        <v>0</v>
      </c>
      <c r="E1722" s="1">
        <v>0</v>
      </c>
      <c r="F1722" s="1">
        <v>0</v>
      </c>
      <c r="G1722" s="1">
        <v>0</v>
      </c>
      <c r="H1722" s="1">
        <v>1</v>
      </c>
      <c r="I1722" s="1">
        <v>0</v>
      </c>
      <c r="J1722" s="1">
        <v>0</v>
      </c>
      <c r="K1722" s="1">
        <v>0</v>
      </c>
      <c r="L1722" s="1">
        <v>1</v>
      </c>
      <c r="M1722" s="1">
        <v>0</v>
      </c>
      <c r="N1722" s="1">
        <v>0</v>
      </c>
      <c r="O1722" s="1">
        <v>1</v>
      </c>
      <c r="P1722" s="1">
        <v>0</v>
      </c>
      <c r="Q1722" s="1">
        <v>0</v>
      </c>
      <c r="R1722" s="1">
        <v>0</v>
      </c>
      <c r="S1722" s="1">
        <v>1</v>
      </c>
      <c r="T1722" s="1">
        <v>0</v>
      </c>
      <c r="U1722" s="1">
        <v>0</v>
      </c>
      <c r="V1722" s="1">
        <v>0</v>
      </c>
    </row>
    <row r="1723" spans="1:22" x14ac:dyDescent="0.2">
      <c r="A1723" s="1" t="s">
        <v>1629</v>
      </c>
      <c r="B1723" s="1" t="s">
        <v>1730</v>
      </c>
      <c r="C1723" s="1">
        <v>0</v>
      </c>
      <c r="D1723" s="1">
        <v>0</v>
      </c>
      <c r="E1723" s="1">
        <v>0</v>
      </c>
      <c r="F1723" s="1">
        <v>0</v>
      </c>
      <c r="G1723" s="1">
        <v>0</v>
      </c>
      <c r="H1723" s="1">
        <v>0</v>
      </c>
      <c r="I1723" s="1">
        <v>0</v>
      </c>
      <c r="J1723" s="1">
        <v>0</v>
      </c>
      <c r="K1723" s="1">
        <v>0</v>
      </c>
      <c r="L1723" s="1">
        <v>0</v>
      </c>
      <c r="M1723" s="1">
        <v>0</v>
      </c>
      <c r="N1723" s="1">
        <v>0</v>
      </c>
      <c r="O1723" s="1">
        <v>0</v>
      </c>
      <c r="P1723" s="1">
        <v>0</v>
      </c>
      <c r="Q1723" s="1">
        <v>2</v>
      </c>
      <c r="R1723" s="1">
        <v>0</v>
      </c>
      <c r="S1723" s="1">
        <v>0</v>
      </c>
      <c r="T1723" s="1">
        <v>0</v>
      </c>
      <c r="U1723" s="1">
        <v>0</v>
      </c>
      <c r="V1723" s="1">
        <v>0</v>
      </c>
    </row>
    <row r="1724" spans="1:22" x14ac:dyDescent="0.2">
      <c r="A1724" s="1" t="s">
        <v>1629</v>
      </c>
      <c r="B1724" s="1" t="s">
        <v>1731</v>
      </c>
      <c r="C1724" s="1">
        <v>0</v>
      </c>
      <c r="D1724" s="1">
        <v>0</v>
      </c>
      <c r="E1724" s="1">
        <v>0</v>
      </c>
      <c r="F1724" s="1">
        <v>0</v>
      </c>
      <c r="G1724" s="1">
        <v>0</v>
      </c>
      <c r="H1724" s="1">
        <v>0</v>
      </c>
      <c r="I1724" s="1">
        <v>2</v>
      </c>
      <c r="J1724" s="1">
        <v>0</v>
      </c>
      <c r="K1724" s="1">
        <v>1</v>
      </c>
      <c r="L1724" s="1">
        <v>1</v>
      </c>
      <c r="M1724" s="1">
        <v>0</v>
      </c>
      <c r="N1724" s="1">
        <v>0</v>
      </c>
      <c r="O1724" s="1">
        <v>0</v>
      </c>
      <c r="V1724" s="1">
        <v>1</v>
      </c>
    </row>
    <row r="1725" spans="1:22" x14ac:dyDescent="0.2">
      <c r="A1725" s="1" t="s">
        <v>1629</v>
      </c>
      <c r="B1725" s="1" t="s">
        <v>1732</v>
      </c>
      <c r="C1725" s="1">
        <v>0</v>
      </c>
      <c r="D1725" s="1">
        <v>0</v>
      </c>
      <c r="E1725" s="1">
        <v>0</v>
      </c>
      <c r="F1725" s="1">
        <v>0</v>
      </c>
      <c r="G1725" s="1">
        <v>0</v>
      </c>
      <c r="H1725" s="1">
        <v>0</v>
      </c>
      <c r="I1725" s="1">
        <v>0</v>
      </c>
      <c r="J1725" s="1">
        <v>0</v>
      </c>
      <c r="K1725" s="1">
        <v>0</v>
      </c>
      <c r="L1725" s="1">
        <v>0</v>
      </c>
      <c r="M1725" s="1">
        <v>0</v>
      </c>
      <c r="N1725" s="1">
        <v>0</v>
      </c>
      <c r="O1725" s="1">
        <v>0</v>
      </c>
      <c r="P1725" s="1">
        <v>0</v>
      </c>
      <c r="Q1725" s="1">
        <v>2</v>
      </c>
      <c r="R1725" s="1">
        <v>0</v>
      </c>
      <c r="S1725" s="1">
        <v>0</v>
      </c>
      <c r="T1725" s="1">
        <v>1</v>
      </c>
      <c r="U1725" s="1">
        <v>0</v>
      </c>
      <c r="V1725" s="1">
        <v>0</v>
      </c>
    </row>
    <row r="1726" spans="1:22" x14ac:dyDescent="0.2">
      <c r="A1726" s="1" t="s">
        <v>1629</v>
      </c>
      <c r="B1726" s="1" t="s">
        <v>1733</v>
      </c>
      <c r="C1726" s="1">
        <f t="shared" ref="C1726:K1726" si="275">SUM(C1727:C1740)</f>
        <v>992</v>
      </c>
      <c r="D1726" s="1">
        <f t="shared" si="275"/>
        <v>934</v>
      </c>
      <c r="E1726" s="1">
        <f t="shared" si="275"/>
        <v>1043</v>
      </c>
      <c r="F1726" s="1">
        <f t="shared" si="275"/>
        <v>1054</v>
      </c>
      <c r="G1726" s="1">
        <f t="shared" si="275"/>
        <v>954</v>
      </c>
      <c r="H1726" s="1">
        <f t="shared" si="275"/>
        <v>897</v>
      </c>
      <c r="I1726" s="1">
        <f t="shared" si="275"/>
        <v>940</v>
      </c>
      <c r="J1726" s="1">
        <f t="shared" si="275"/>
        <v>1000</v>
      </c>
      <c r="K1726" s="1">
        <f t="shared" si="275"/>
        <v>1070</v>
      </c>
      <c r="L1726" s="1">
        <f>SUM(L1727:L1740)</f>
        <v>1241</v>
      </c>
      <c r="M1726" s="1">
        <f>SUM(M1727:M1740)</f>
        <v>1154</v>
      </c>
      <c r="N1726" s="1">
        <f>SUM(N1727:N1740)</f>
        <v>1062</v>
      </c>
      <c r="O1726" s="1">
        <f t="shared" ref="O1726:V1726" si="276">SUM(O1727:O1740)</f>
        <v>991</v>
      </c>
      <c r="P1726" s="1">
        <f t="shared" si="276"/>
        <v>1220</v>
      </c>
      <c r="Q1726" s="1">
        <f t="shared" si="276"/>
        <v>1241</v>
      </c>
      <c r="R1726" s="1">
        <f t="shared" si="276"/>
        <v>1471</v>
      </c>
      <c r="S1726" s="1">
        <f t="shared" si="276"/>
        <v>1483</v>
      </c>
      <c r="T1726" s="1">
        <f t="shared" si="276"/>
        <v>1338</v>
      </c>
      <c r="U1726" s="1">
        <f t="shared" si="276"/>
        <v>1480</v>
      </c>
      <c r="V1726" s="1">
        <f t="shared" si="276"/>
        <v>2144</v>
      </c>
    </row>
    <row r="1727" spans="1:22" x14ac:dyDescent="0.2">
      <c r="A1727" s="1" t="s">
        <v>1629</v>
      </c>
      <c r="B1727" s="1" t="s">
        <v>1734</v>
      </c>
      <c r="C1727" s="1">
        <v>17</v>
      </c>
      <c r="D1727" s="1">
        <v>14</v>
      </c>
      <c r="E1727" s="1">
        <v>27</v>
      </c>
      <c r="F1727" s="1">
        <v>28</v>
      </c>
      <c r="G1727" s="1">
        <v>19</v>
      </c>
      <c r="H1727" s="1">
        <v>20</v>
      </c>
      <c r="I1727" s="1">
        <v>15</v>
      </c>
      <c r="J1727" s="1">
        <v>10</v>
      </c>
      <c r="K1727" s="1">
        <v>11</v>
      </c>
      <c r="L1727" s="1">
        <v>39</v>
      </c>
      <c r="M1727" s="1">
        <v>22</v>
      </c>
      <c r="N1727" s="1">
        <v>20</v>
      </c>
      <c r="O1727" s="1">
        <v>17</v>
      </c>
      <c r="P1727" s="1">
        <v>16</v>
      </c>
      <c r="Q1727" s="1">
        <v>15</v>
      </c>
      <c r="R1727" s="1">
        <v>28</v>
      </c>
      <c r="S1727" s="1">
        <v>24</v>
      </c>
      <c r="T1727" s="1">
        <v>34</v>
      </c>
      <c r="U1727" s="1">
        <v>26</v>
      </c>
      <c r="V1727" s="1">
        <v>27</v>
      </c>
    </row>
    <row r="1728" spans="1:22" x14ac:dyDescent="0.2">
      <c r="A1728" s="1" t="s">
        <v>1629</v>
      </c>
      <c r="B1728" s="1" t="s">
        <v>1735</v>
      </c>
      <c r="C1728" s="1">
        <v>4</v>
      </c>
      <c r="D1728" s="1">
        <v>6</v>
      </c>
      <c r="E1728" s="1">
        <v>9</v>
      </c>
      <c r="F1728" s="1">
        <v>19</v>
      </c>
      <c r="G1728" s="1">
        <v>11</v>
      </c>
      <c r="H1728" s="1">
        <v>12</v>
      </c>
      <c r="I1728" s="1">
        <v>7</v>
      </c>
      <c r="J1728" s="1">
        <v>6</v>
      </c>
      <c r="K1728" s="1">
        <v>8</v>
      </c>
      <c r="L1728" s="1">
        <v>5</v>
      </c>
      <c r="M1728" s="1">
        <v>2</v>
      </c>
      <c r="N1728" s="1">
        <v>7</v>
      </c>
      <c r="O1728" s="1">
        <v>7</v>
      </c>
      <c r="P1728" s="1">
        <v>8</v>
      </c>
      <c r="Q1728" s="1">
        <v>6</v>
      </c>
      <c r="R1728" s="1">
        <v>13</v>
      </c>
      <c r="S1728" s="1">
        <v>16</v>
      </c>
      <c r="T1728" s="1">
        <v>14</v>
      </c>
      <c r="U1728" s="1">
        <v>7</v>
      </c>
      <c r="V1728" s="1">
        <v>19</v>
      </c>
    </row>
    <row r="1729" spans="1:22" x14ac:dyDescent="0.2">
      <c r="A1729" s="1" t="s">
        <v>1629</v>
      </c>
      <c r="B1729" s="1" t="s">
        <v>1736</v>
      </c>
      <c r="C1729" s="1">
        <v>2</v>
      </c>
      <c r="D1729" s="1">
        <v>1</v>
      </c>
      <c r="E1729" s="1">
        <v>0</v>
      </c>
      <c r="F1729" s="1">
        <v>0</v>
      </c>
      <c r="G1729" s="1">
        <v>0</v>
      </c>
      <c r="H1729" s="1">
        <v>0</v>
      </c>
      <c r="I1729" s="1">
        <v>0</v>
      </c>
      <c r="J1729" s="1">
        <v>0</v>
      </c>
      <c r="K1729" s="1">
        <v>0</v>
      </c>
      <c r="L1729" s="1">
        <v>0</v>
      </c>
      <c r="M1729" s="1">
        <v>0</v>
      </c>
      <c r="N1729" s="1">
        <v>0</v>
      </c>
      <c r="O1729" s="1">
        <v>0</v>
      </c>
      <c r="P1729" s="1">
        <v>0</v>
      </c>
      <c r="Q1729" s="1">
        <v>13</v>
      </c>
      <c r="R1729" s="1">
        <v>11</v>
      </c>
      <c r="S1729" s="1">
        <v>11</v>
      </c>
      <c r="T1729" s="1">
        <v>12</v>
      </c>
      <c r="U1729" s="1">
        <v>59</v>
      </c>
      <c r="V1729" s="1">
        <v>30</v>
      </c>
    </row>
    <row r="1730" spans="1:22" x14ac:dyDescent="0.2">
      <c r="A1730" s="1" t="s">
        <v>1629</v>
      </c>
      <c r="B1730" s="1" t="s">
        <v>1737</v>
      </c>
      <c r="C1730" s="1">
        <v>7</v>
      </c>
      <c r="D1730" s="1">
        <v>8</v>
      </c>
      <c r="E1730" s="1">
        <v>7</v>
      </c>
      <c r="F1730" s="1">
        <v>6</v>
      </c>
      <c r="G1730" s="1">
        <v>3</v>
      </c>
      <c r="H1730" s="1">
        <v>7</v>
      </c>
      <c r="I1730" s="1">
        <v>11</v>
      </c>
      <c r="J1730" s="1">
        <v>3</v>
      </c>
      <c r="K1730" s="1">
        <v>8</v>
      </c>
      <c r="L1730" s="1">
        <v>11</v>
      </c>
      <c r="M1730" s="1">
        <v>9</v>
      </c>
      <c r="N1730" s="1">
        <v>10</v>
      </c>
      <c r="O1730" s="1">
        <v>22</v>
      </c>
      <c r="P1730" s="1">
        <v>8</v>
      </c>
      <c r="Q1730" s="1">
        <v>5</v>
      </c>
      <c r="R1730" s="1">
        <v>7</v>
      </c>
      <c r="S1730" s="1">
        <v>6</v>
      </c>
      <c r="T1730" s="1">
        <v>10</v>
      </c>
      <c r="U1730" s="1">
        <v>7</v>
      </c>
      <c r="V1730" s="1">
        <v>6</v>
      </c>
    </row>
    <row r="1731" spans="1:22" x14ac:dyDescent="0.2">
      <c r="A1731" s="1" t="s">
        <v>1629</v>
      </c>
      <c r="B1731" s="1" t="s">
        <v>1738</v>
      </c>
      <c r="C1731" s="1">
        <v>0</v>
      </c>
      <c r="D1731" s="1">
        <v>0</v>
      </c>
      <c r="E1731" s="1">
        <v>0</v>
      </c>
      <c r="F1731" s="1">
        <v>0</v>
      </c>
      <c r="G1731" s="1">
        <v>0</v>
      </c>
      <c r="H1731" s="1">
        <v>2</v>
      </c>
      <c r="I1731" s="1">
        <v>1</v>
      </c>
      <c r="J1731" s="1">
        <v>2</v>
      </c>
      <c r="K1731" s="1">
        <v>1</v>
      </c>
      <c r="L1731" s="1">
        <v>1</v>
      </c>
      <c r="M1731" s="1">
        <v>1</v>
      </c>
      <c r="N1731" s="1">
        <v>0</v>
      </c>
      <c r="O1731" s="1">
        <v>3</v>
      </c>
      <c r="P1731" s="1">
        <v>13</v>
      </c>
      <c r="Q1731" s="1">
        <v>4</v>
      </c>
      <c r="R1731" s="1">
        <v>1</v>
      </c>
      <c r="S1731" s="1">
        <v>3</v>
      </c>
      <c r="T1731" s="1">
        <v>0</v>
      </c>
      <c r="U1731" s="1">
        <v>0</v>
      </c>
      <c r="V1731" s="1">
        <v>10</v>
      </c>
    </row>
    <row r="1732" spans="1:22" x14ac:dyDescent="0.2">
      <c r="A1732" s="1" t="s">
        <v>1629</v>
      </c>
      <c r="B1732" s="1" t="s">
        <v>1739</v>
      </c>
      <c r="C1732" s="1">
        <v>3</v>
      </c>
      <c r="D1732" s="1">
        <v>0</v>
      </c>
      <c r="E1732" s="1">
        <v>0</v>
      </c>
      <c r="F1732" s="1">
        <v>0</v>
      </c>
      <c r="G1732" s="1">
        <v>13</v>
      </c>
      <c r="H1732" s="1">
        <v>4</v>
      </c>
      <c r="I1732" s="1">
        <v>5</v>
      </c>
      <c r="J1732" s="1">
        <v>18</v>
      </c>
      <c r="K1732" s="1">
        <v>4</v>
      </c>
      <c r="L1732" s="1">
        <v>2</v>
      </c>
      <c r="M1732" s="1">
        <v>2</v>
      </c>
      <c r="N1732" s="1">
        <v>0</v>
      </c>
      <c r="O1732" s="1">
        <v>1</v>
      </c>
      <c r="P1732" s="1">
        <v>0</v>
      </c>
      <c r="Q1732" s="1">
        <v>1</v>
      </c>
      <c r="R1732" s="1">
        <v>0</v>
      </c>
      <c r="S1732" s="1">
        <v>1</v>
      </c>
      <c r="T1732" s="1">
        <v>2</v>
      </c>
      <c r="U1732" s="1">
        <v>0</v>
      </c>
      <c r="V1732" s="1">
        <v>0</v>
      </c>
    </row>
    <row r="1733" spans="1:22" x14ac:dyDescent="0.2">
      <c r="A1733" s="1" t="s">
        <v>1629</v>
      </c>
      <c r="B1733" s="1" t="s">
        <v>1740</v>
      </c>
      <c r="C1733" s="1">
        <v>0</v>
      </c>
      <c r="D1733" s="1">
        <v>0</v>
      </c>
      <c r="E1733" s="1">
        <v>0</v>
      </c>
      <c r="F1733" s="1">
        <v>0</v>
      </c>
      <c r="G1733" s="1">
        <v>0</v>
      </c>
      <c r="H1733" s="1">
        <v>0</v>
      </c>
      <c r="I1733" s="1">
        <v>0</v>
      </c>
      <c r="J1733" s="1">
        <v>0</v>
      </c>
      <c r="K1733" s="1">
        <v>0</v>
      </c>
      <c r="L1733" s="1">
        <v>0</v>
      </c>
      <c r="M1733" s="1">
        <v>0</v>
      </c>
      <c r="N1733" s="1">
        <v>0</v>
      </c>
      <c r="O1733" s="1">
        <v>3</v>
      </c>
      <c r="P1733" s="1">
        <v>0</v>
      </c>
      <c r="Q1733" s="1">
        <v>0</v>
      </c>
      <c r="R1733" s="1">
        <v>0</v>
      </c>
      <c r="S1733" s="1">
        <v>0</v>
      </c>
      <c r="T1733" s="1">
        <v>0</v>
      </c>
      <c r="U1733" s="1">
        <v>0</v>
      </c>
      <c r="V1733" s="1">
        <v>0</v>
      </c>
    </row>
    <row r="1734" spans="1:22" x14ac:dyDescent="0.2">
      <c r="A1734" s="1" t="s">
        <v>1629</v>
      </c>
      <c r="B1734" s="1" t="s">
        <v>1741</v>
      </c>
      <c r="C1734" s="1">
        <v>0</v>
      </c>
      <c r="D1734" s="1">
        <v>0</v>
      </c>
      <c r="E1734" s="1">
        <v>0</v>
      </c>
      <c r="F1734" s="1">
        <v>0</v>
      </c>
      <c r="G1734" s="1">
        <v>0</v>
      </c>
      <c r="H1734" s="1">
        <v>0</v>
      </c>
      <c r="I1734" s="1">
        <v>0</v>
      </c>
      <c r="J1734" s="1">
        <v>0</v>
      </c>
      <c r="K1734" s="1">
        <v>1</v>
      </c>
      <c r="L1734" s="1">
        <v>0</v>
      </c>
      <c r="M1734" s="1">
        <v>1</v>
      </c>
      <c r="N1734" s="1">
        <v>1</v>
      </c>
      <c r="O1734" s="1">
        <v>1</v>
      </c>
      <c r="P1734" s="1">
        <v>2</v>
      </c>
      <c r="Q1734" s="1">
        <v>3</v>
      </c>
      <c r="R1734" s="1">
        <v>1</v>
      </c>
      <c r="S1734" s="1">
        <v>1</v>
      </c>
      <c r="T1734" s="1">
        <v>2</v>
      </c>
      <c r="U1734" s="1">
        <v>0</v>
      </c>
      <c r="V1734" s="1">
        <v>1</v>
      </c>
    </row>
    <row r="1735" spans="1:22" x14ac:dyDescent="0.2">
      <c r="A1735" s="1" t="s">
        <v>1629</v>
      </c>
      <c r="B1735" s="1" t="s">
        <v>1742</v>
      </c>
      <c r="C1735" s="1">
        <v>0</v>
      </c>
      <c r="D1735" s="1">
        <v>0</v>
      </c>
      <c r="E1735" s="1">
        <v>0</v>
      </c>
      <c r="F1735" s="1">
        <v>0</v>
      </c>
      <c r="G1735" s="1">
        <v>7</v>
      </c>
      <c r="H1735" s="1">
        <v>5</v>
      </c>
      <c r="I1735" s="1">
        <v>11</v>
      </c>
      <c r="J1735" s="1">
        <v>21</v>
      </c>
      <c r="K1735" s="1">
        <v>32</v>
      </c>
      <c r="L1735" s="1">
        <v>51</v>
      </c>
      <c r="M1735" s="1">
        <v>39</v>
      </c>
      <c r="N1735" s="1">
        <v>67</v>
      </c>
      <c r="O1735" s="1">
        <v>64</v>
      </c>
      <c r="P1735" s="1">
        <v>11</v>
      </c>
      <c r="Q1735" s="1">
        <v>223</v>
      </c>
      <c r="R1735" s="1">
        <v>332</v>
      </c>
      <c r="S1735" s="1">
        <v>361</v>
      </c>
      <c r="T1735" s="1">
        <v>158</v>
      </c>
      <c r="U1735" s="1">
        <v>254</v>
      </c>
      <c r="V1735" s="1">
        <v>809</v>
      </c>
    </row>
    <row r="1736" spans="1:22" x14ac:dyDescent="0.2">
      <c r="A1736" s="1" t="s">
        <v>1629</v>
      </c>
      <c r="B1736" s="1" t="s">
        <v>1743</v>
      </c>
      <c r="C1736" s="1">
        <v>11</v>
      </c>
      <c r="D1736" s="1">
        <v>10</v>
      </c>
      <c r="E1736" s="1">
        <v>14</v>
      </c>
      <c r="F1736" s="1">
        <v>18</v>
      </c>
      <c r="G1736" s="1">
        <v>12</v>
      </c>
      <c r="H1736" s="1">
        <v>10</v>
      </c>
      <c r="I1736" s="1">
        <v>13</v>
      </c>
      <c r="J1736" s="1">
        <v>13</v>
      </c>
      <c r="K1736" s="1">
        <v>6</v>
      </c>
      <c r="L1736" s="1">
        <v>17</v>
      </c>
      <c r="M1736" s="1">
        <v>6</v>
      </c>
      <c r="N1736" s="1">
        <v>10</v>
      </c>
      <c r="O1736" s="1">
        <v>10</v>
      </c>
      <c r="P1736" s="1">
        <v>5</v>
      </c>
      <c r="Q1736" s="1">
        <v>0</v>
      </c>
      <c r="R1736" s="1">
        <v>0</v>
      </c>
      <c r="S1736" s="1">
        <v>3</v>
      </c>
      <c r="T1736" s="1">
        <v>10</v>
      </c>
      <c r="U1736" s="1">
        <v>0</v>
      </c>
      <c r="V1736" s="1">
        <v>12</v>
      </c>
    </row>
    <row r="1737" spans="1:22" x14ac:dyDescent="0.2">
      <c r="A1737" s="1" t="s">
        <v>1629</v>
      </c>
      <c r="B1737" s="1" t="s">
        <v>1744</v>
      </c>
      <c r="C1737" s="1">
        <v>0</v>
      </c>
      <c r="D1737" s="1">
        <v>0</v>
      </c>
      <c r="E1737" s="1">
        <v>0</v>
      </c>
      <c r="F1737" s="1">
        <v>0</v>
      </c>
      <c r="G1737" s="1">
        <v>0</v>
      </c>
      <c r="H1737" s="1">
        <v>0</v>
      </c>
      <c r="I1737" s="1">
        <v>0</v>
      </c>
      <c r="J1737" s="1">
        <v>0</v>
      </c>
      <c r="K1737" s="1">
        <v>0</v>
      </c>
      <c r="L1737" s="1">
        <v>0</v>
      </c>
      <c r="M1737" s="1">
        <v>0</v>
      </c>
      <c r="N1737" s="1">
        <v>0</v>
      </c>
      <c r="O1737" s="1">
        <v>0</v>
      </c>
      <c r="P1737" s="1">
        <v>200</v>
      </c>
      <c r="Q1737" s="1">
        <v>31</v>
      </c>
      <c r="R1737" s="1">
        <v>23</v>
      </c>
      <c r="S1737" s="1">
        <v>28</v>
      </c>
      <c r="T1737" s="1">
        <v>21</v>
      </c>
      <c r="U1737" s="1">
        <v>35</v>
      </c>
      <c r="V1737" s="1">
        <v>68</v>
      </c>
    </row>
    <row r="1738" spans="1:22" x14ac:dyDescent="0.2">
      <c r="A1738" s="1" t="s">
        <v>1629</v>
      </c>
      <c r="B1738" s="1" t="s">
        <v>1745</v>
      </c>
      <c r="C1738" s="1">
        <v>0</v>
      </c>
      <c r="D1738" s="1">
        <v>0</v>
      </c>
      <c r="E1738" s="1">
        <v>0</v>
      </c>
      <c r="F1738" s="1">
        <v>0</v>
      </c>
      <c r="G1738" s="1">
        <v>0</v>
      </c>
      <c r="H1738" s="1">
        <v>0</v>
      </c>
      <c r="I1738" s="1">
        <v>0</v>
      </c>
      <c r="J1738" s="1">
        <v>0</v>
      </c>
      <c r="K1738" s="1">
        <v>0</v>
      </c>
      <c r="L1738" s="1">
        <v>0</v>
      </c>
      <c r="M1738" s="1">
        <v>0</v>
      </c>
      <c r="N1738" s="1">
        <v>0</v>
      </c>
      <c r="O1738" s="1">
        <v>0</v>
      </c>
      <c r="P1738" s="1">
        <v>0</v>
      </c>
      <c r="Q1738" s="1">
        <v>2</v>
      </c>
      <c r="R1738" s="1">
        <v>23</v>
      </c>
      <c r="S1738" s="1">
        <v>32</v>
      </c>
      <c r="T1738" s="1">
        <v>67</v>
      </c>
      <c r="U1738" s="1">
        <v>93</v>
      </c>
      <c r="V1738" s="1">
        <v>143</v>
      </c>
    </row>
    <row r="1739" spans="1:22" x14ac:dyDescent="0.2">
      <c r="A1739" s="1" t="s">
        <v>1629</v>
      </c>
      <c r="B1739" s="1" t="s">
        <v>1746</v>
      </c>
      <c r="C1739" s="1">
        <v>937</v>
      </c>
      <c r="D1739" s="1">
        <v>893</v>
      </c>
      <c r="E1739" s="1">
        <v>978</v>
      </c>
      <c r="F1739" s="1">
        <v>980</v>
      </c>
      <c r="G1739" s="1">
        <v>888</v>
      </c>
      <c r="H1739" s="1">
        <v>837</v>
      </c>
      <c r="I1739" s="1">
        <v>876</v>
      </c>
      <c r="J1739" s="1">
        <v>924</v>
      </c>
      <c r="K1739" s="1">
        <v>995</v>
      </c>
      <c r="L1739" s="1">
        <v>1111</v>
      </c>
      <c r="M1739" s="1">
        <v>1069</v>
      </c>
      <c r="N1739" s="1">
        <v>946</v>
      </c>
      <c r="O1739" s="1">
        <v>861</v>
      </c>
      <c r="P1739" s="1">
        <v>957</v>
      </c>
      <c r="Q1739" s="1">
        <v>937</v>
      </c>
      <c r="R1739" s="1">
        <v>1031</v>
      </c>
      <c r="S1739" s="1">
        <v>997</v>
      </c>
      <c r="T1739" s="1">
        <v>1008</v>
      </c>
      <c r="U1739" s="1">
        <v>999</v>
      </c>
      <c r="V1739" s="1">
        <v>1019</v>
      </c>
    </row>
    <row r="1740" spans="1:22" x14ac:dyDescent="0.2">
      <c r="A1740" s="1" t="s">
        <v>1629</v>
      </c>
      <c r="B1740" s="1" t="s">
        <v>1747</v>
      </c>
      <c r="C1740" s="1">
        <v>11</v>
      </c>
      <c r="D1740" s="1">
        <v>2</v>
      </c>
      <c r="E1740" s="1">
        <v>8</v>
      </c>
      <c r="F1740" s="1">
        <v>3</v>
      </c>
      <c r="G1740" s="1">
        <v>1</v>
      </c>
      <c r="H1740" s="1">
        <v>0</v>
      </c>
      <c r="I1740" s="1">
        <v>1</v>
      </c>
      <c r="J1740" s="1">
        <v>3</v>
      </c>
      <c r="K1740" s="1">
        <v>4</v>
      </c>
      <c r="L1740" s="1">
        <v>4</v>
      </c>
      <c r="M1740" s="1">
        <v>3</v>
      </c>
      <c r="N1740" s="1">
        <v>1</v>
      </c>
      <c r="O1740" s="1">
        <v>2</v>
      </c>
      <c r="P1740" s="1">
        <v>0</v>
      </c>
      <c r="Q1740" s="1">
        <v>1</v>
      </c>
      <c r="R1740" s="1">
        <v>1</v>
      </c>
      <c r="S1740" s="1">
        <v>0</v>
      </c>
      <c r="T1740" s="1">
        <v>0</v>
      </c>
      <c r="U1740" s="1">
        <v>0</v>
      </c>
      <c r="V1740" s="1">
        <v>0</v>
      </c>
    </row>
    <row r="1741" spans="1:22" x14ac:dyDescent="0.2">
      <c r="A1741" s="1" t="s">
        <v>1629</v>
      </c>
      <c r="B1741" s="1" t="s">
        <v>1748</v>
      </c>
      <c r="C1741" s="1">
        <f t="shared" ref="C1741:K1741" si="277">SUM(C1742:C1782)</f>
        <v>48723</v>
      </c>
      <c r="D1741" s="1">
        <f t="shared" si="277"/>
        <v>52598</v>
      </c>
      <c r="E1741" s="1">
        <f t="shared" si="277"/>
        <v>52851</v>
      </c>
      <c r="F1741" s="1">
        <f t="shared" si="277"/>
        <v>60628</v>
      </c>
      <c r="G1741" s="1">
        <f t="shared" si="277"/>
        <v>61633</v>
      </c>
      <c r="H1741" s="1">
        <f t="shared" si="277"/>
        <v>64154</v>
      </c>
      <c r="I1741" s="1">
        <f t="shared" si="277"/>
        <v>65057</v>
      </c>
      <c r="J1741" s="1">
        <f t="shared" si="277"/>
        <v>66060</v>
      </c>
      <c r="K1741" s="1">
        <f t="shared" si="277"/>
        <v>68124</v>
      </c>
      <c r="L1741" s="1">
        <f>SUM(L1742:L1782)</f>
        <v>80911</v>
      </c>
      <c r="M1741" s="1">
        <f>SUM(M1742:M1782)</f>
        <v>83276</v>
      </c>
      <c r="N1741" s="1">
        <f>SUM(N1742:N1782)</f>
        <v>81402</v>
      </c>
      <c r="O1741" s="1">
        <f t="shared" ref="O1741:V1741" si="278">SUM(O1742:O1782)</f>
        <v>99733</v>
      </c>
      <c r="P1741" s="1">
        <f t="shared" si="278"/>
        <v>106120</v>
      </c>
      <c r="Q1741" s="1">
        <f t="shared" si="278"/>
        <v>113362</v>
      </c>
      <c r="R1741" s="1">
        <f t="shared" si="278"/>
        <v>105327</v>
      </c>
      <c r="S1741" s="1">
        <f t="shared" si="278"/>
        <v>102625</v>
      </c>
      <c r="T1741" s="1">
        <f t="shared" si="278"/>
        <v>108885</v>
      </c>
      <c r="U1741" s="1">
        <f t="shared" si="278"/>
        <v>114446</v>
      </c>
      <c r="V1741" s="1">
        <f t="shared" si="278"/>
        <v>118249</v>
      </c>
    </row>
    <row r="1742" spans="1:22" x14ac:dyDescent="0.2">
      <c r="A1742" s="1" t="s">
        <v>1629</v>
      </c>
      <c r="B1742" s="1" t="s">
        <v>1749</v>
      </c>
      <c r="C1742" s="1">
        <v>0</v>
      </c>
      <c r="D1742" s="1">
        <v>0</v>
      </c>
      <c r="E1742" s="1">
        <v>0</v>
      </c>
      <c r="F1742" s="1">
        <v>334</v>
      </c>
      <c r="G1742" s="1">
        <v>459</v>
      </c>
      <c r="H1742" s="1">
        <v>492</v>
      </c>
      <c r="I1742" s="1">
        <v>528</v>
      </c>
      <c r="J1742" s="1">
        <v>513</v>
      </c>
      <c r="K1742" s="1">
        <v>111</v>
      </c>
      <c r="L1742" s="1">
        <v>109</v>
      </c>
      <c r="M1742" s="1">
        <v>42</v>
      </c>
      <c r="N1742" s="1">
        <v>11</v>
      </c>
      <c r="O1742" s="1">
        <v>0</v>
      </c>
      <c r="P1742" s="1">
        <v>0</v>
      </c>
      <c r="Q1742" s="1">
        <v>1</v>
      </c>
      <c r="R1742" s="1">
        <v>0</v>
      </c>
      <c r="S1742" s="1">
        <v>1</v>
      </c>
      <c r="T1742" s="1">
        <v>0</v>
      </c>
      <c r="U1742" s="1">
        <v>0</v>
      </c>
      <c r="V1742" s="1">
        <v>9</v>
      </c>
    </row>
    <row r="1743" spans="1:22" x14ac:dyDescent="0.2">
      <c r="A1743" s="1" t="s">
        <v>1629</v>
      </c>
      <c r="B1743" s="1" t="s">
        <v>1750</v>
      </c>
      <c r="C1743" s="1">
        <v>269</v>
      </c>
      <c r="D1743" s="1">
        <v>322</v>
      </c>
      <c r="E1743" s="1">
        <v>332</v>
      </c>
      <c r="F1743" s="1">
        <v>326</v>
      </c>
      <c r="G1743" s="1">
        <v>399</v>
      </c>
      <c r="H1743" s="1">
        <v>381</v>
      </c>
      <c r="I1743" s="1">
        <v>293</v>
      </c>
      <c r="J1743" s="1">
        <v>332</v>
      </c>
      <c r="K1743" s="1">
        <v>375</v>
      </c>
      <c r="L1743" s="1">
        <v>494</v>
      </c>
      <c r="M1743" s="1">
        <v>423</v>
      </c>
      <c r="N1743" s="1">
        <v>410</v>
      </c>
      <c r="O1743" s="1">
        <v>476</v>
      </c>
      <c r="P1743" s="1">
        <v>447</v>
      </c>
      <c r="Q1743" s="1">
        <v>432</v>
      </c>
      <c r="R1743" s="1">
        <v>449</v>
      </c>
      <c r="S1743" s="1">
        <v>604</v>
      </c>
      <c r="T1743" s="1">
        <v>466</v>
      </c>
      <c r="U1743" s="1">
        <v>399</v>
      </c>
      <c r="V1743" s="1">
        <v>526</v>
      </c>
    </row>
    <row r="1744" spans="1:22" x14ac:dyDescent="0.2">
      <c r="A1744" s="1" t="s">
        <v>1629</v>
      </c>
      <c r="B1744" s="1" t="s">
        <v>1751</v>
      </c>
      <c r="C1744" s="1">
        <v>0</v>
      </c>
      <c r="D1744" s="1">
        <v>0</v>
      </c>
      <c r="E1744" s="1">
        <v>0</v>
      </c>
      <c r="F1744" s="1">
        <v>0</v>
      </c>
      <c r="G1744" s="1">
        <v>7</v>
      </c>
      <c r="H1744" s="1">
        <v>15</v>
      </c>
      <c r="I1744" s="1">
        <v>34</v>
      </c>
      <c r="J1744" s="1">
        <v>10</v>
      </c>
      <c r="K1744" s="1">
        <v>13</v>
      </c>
      <c r="L1744" s="1">
        <v>26</v>
      </c>
      <c r="M1744" s="1">
        <v>30</v>
      </c>
      <c r="N1744" s="1">
        <v>5</v>
      </c>
      <c r="O1744" s="1">
        <v>7</v>
      </c>
      <c r="P1744" s="1">
        <v>871</v>
      </c>
      <c r="Q1744" s="1">
        <v>2</v>
      </c>
      <c r="R1744" s="1">
        <v>1</v>
      </c>
      <c r="S1744" s="1">
        <v>9</v>
      </c>
      <c r="T1744" s="1">
        <v>16</v>
      </c>
      <c r="U1744" s="1">
        <v>19</v>
      </c>
      <c r="V1744" s="1">
        <v>24</v>
      </c>
    </row>
    <row r="1745" spans="1:22" x14ac:dyDescent="0.2">
      <c r="A1745" s="1" t="s">
        <v>1629</v>
      </c>
      <c r="B1745" s="1" t="s">
        <v>1752</v>
      </c>
      <c r="C1745" s="1">
        <v>65</v>
      </c>
      <c r="D1745" s="1">
        <v>84</v>
      </c>
      <c r="E1745" s="1">
        <v>121</v>
      </c>
      <c r="F1745" s="1">
        <v>85</v>
      </c>
      <c r="G1745" s="1">
        <v>187</v>
      </c>
      <c r="H1745" s="1">
        <v>241</v>
      </c>
      <c r="I1745" s="1">
        <v>119</v>
      </c>
      <c r="J1745" s="1">
        <v>90</v>
      </c>
      <c r="K1745" s="1">
        <v>78</v>
      </c>
      <c r="L1745" s="1">
        <v>64</v>
      </c>
      <c r="M1745" s="1">
        <v>102</v>
      </c>
      <c r="N1745" s="1">
        <v>79</v>
      </c>
      <c r="O1745" s="1">
        <v>101</v>
      </c>
      <c r="P1745" s="1">
        <v>175</v>
      </c>
      <c r="Q1745" s="1">
        <v>200</v>
      </c>
      <c r="R1745" s="1">
        <v>501</v>
      </c>
      <c r="S1745" s="1">
        <v>511</v>
      </c>
      <c r="T1745" s="1">
        <v>515</v>
      </c>
      <c r="U1745" s="1">
        <v>491</v>
      </c>
      <c r="V1745" s="1">
        <v>264</v>
      </c>
    </row>
    <row r="1746" spans="1:22" x14ac:dyDescent="0.2">
      <c r="A1746" s="1" t="s">
        <v>1629</v>
      </c>
      <c r="B1746" s="1" t="s">
        <v>1753</v>
      </c>
      <c r="C1746" s="1">
        <v>4526</v>
      </c>
      <c r="D1746" s="1">
        <v>3226</v>
      </c>
      <c r="E1746" s="1">
        <v>2823</v>
      </c>
      <c r="F1746" s="1">
        <v>3928</v>
      </c>
      <c r="G1746" s="1">
        <v>5062</v>
      </c>
      <c r="H1746" s="1">
        <v>5352</v>
      </c>
      <c r="I1746" s="1">
        <v>4886</v>
      </c>
      <c r="J1746" s="1">
        <v>5195</v>
      </c>
      <c r="K1746" s="1">
        <v>5142</v>
      </c>
      <c r="L1746" s="1">
        <v>6018</v>
      </c>
      <c r="M1746" s="1">
        <v>7408</v>
      </c>
      <c r="N1746" s="1">
        <v>8662</v>
      </c>
      <c r="O1746" s="1">
        <v>10738</v>
      </c>
      <c r="P1746" s="1">
        <v>9315</v>
      </c>
      <c r="Q1746" s="1">
        <v>8633</v>
      </c>
      <c r="R1746" s="1">
        <v>6019</v>
      </c>
      <c r="S1746" s="1">
        <v>7001</v>
      </c>
      <c r="T1746" s="1">
        <v>7685</v>
      </c>
      <c r="U1746" s="1">
        <v>5637</v>
      </c>
      <c r="V1746" s="1">
        <v>5314</v>
      </c>
    </row>
    <row r="1747" spans="1:22" x14ac:dyDescent="0.2">
      <c r="A1747" s="1" t="s">
        <v>1629</v>
      </c>
      <c r="B1747" s="1" t="s">
        <v>1754</v>
      </c>
      <c r="C1747" s="1">
        <v>0</v>
      </c>
      <c r="D1747" s="1">
        <v>0</v>
      </c>
      <c r="E1747" s="1">
        <v>0</v>
      </c>
      <c r="F1747" s="1">
        <v>0</v>
      </c>
      <c r="G1747" s="1">
        <v>0</v>
      </c>
      <c r="H1747" s="1">
        <v>0</v>
      </c>
      <c r="I1747" s="1">
        <v>0</v>
      </c>
      <c r="J1747" s="1">
        <v>0</v>
      </c>
      <c r="K1747" s="1">
        <v>0</v>
      </c>
      <c r="L1747" s="1">
        <v>0</v>
      </c>
      <c r="M1747" s="1">
        <v>120</v>
      </c>
      <c r="N1747" s="1">
        <v>106</v>
      </c>
      <c r="O1747" s="1">
        <v>117</v>
      </c>
      <c r="P1747" s="1">
        <v>208</v>
      </c>
      <c r="Q1747" s="1">
        <v>199</v>
      </c>
      <c r="R1747" s="1">
        <v>157</v>
      </c>
      <c r="S1747" s="1">
        <v>141</v>
      </c>
      <c r="T1747" s="1">
        <v>162</v>
      </c>
      <c r="U1747" s="1">
        <v>181</v>
      </c>
      <c r="V1747" s="1">
        <v>176</v>
      </c>
    </row>
    <row r="1748" spans="1:22" x14ac:dyDescent="0.2">
      <c r="A1748" s="1" t="s">
        <v>1629</v>
      </c>
      <c r="B1748" s="1" t="s">
        <v>1755</v>
      </c>
      <c r="C1748" s="1">
        <v>1654</v>
      </c>
      <c r="D1748" s="1">
        <v>1872</v>
      </c>
      <c r="E1748" s="1">
        <v>1951</v>
      </c>
      <c r="F1748" s="1">
        <v>2158</v>
      </c>
      <c r="G1748" s="1">
        <v>2069</v>
      </c>
      <c r="H1748" s="1">
        <v>2332</v>
      </c>
      <c r="I1748" s="1">
        <v>2048</v>
      </c>
      <c r="J1748" s="1">
        <v>2053</v>
      </c>
      <c r="K1748" s="1">
        <v>2514</v>
      </c>
      <c r="L1748" s="1">
        <v>4625</v>
      </c>
      <c r="M1748" s="1">
        <v>5723</v>
      </c>
      <c r="N1748" s="1">
        <v>5403</v>
      </c>
      <c r="O1748" s="1">
        <v>4641</v>
      </c>
      <c r="P1748" s="1">
        <v>5842</v>
      </c>
      <c r="Q1748" s="1">
        <v>5955</v>
      </c>
      <c r="R1748" s="1">
        <v>5761</v>
      </c>
      <c r="S1748" s="1">
        <v>5926</v>
      </c>
      <c r="T1748" s="1">
        <v>6306</v>
      </c>
      <c r="U1748" s="1">
        <v>6499</v>
      </c>
      <c r="V1748" s="1">
        <v>6580</v>
      </c>
    </row>
    <row r="1749" spans="1:22" x14ac:dyDescent="0.2">
      <c r="A1749" s="1" t="s">
        <v>1629</v>
      </c>
      <c r="B1749" s="1" t="s">
        <v>1756</v>
      </c>
      <c r="C1749" s="1">
        <v>0</v>
      </c>
      <c r="D1749" s="1">
        <v>0</v>
      </c>
      <c r="E1749" s="1">
        <v>1</v>
      </c>
      <c r="F1749" s="1">
        <v>0</v>
      </c>
      <c r="G1749" s="1">
        <v>0</v>
      </c>
      <c r="H1749" s="1">
        <v>5</v>
      </c>
      <c r="I1749" s="1">
        <v>0</v>
      </c>
      <c r="J1749" s="1">
        <v>0</v>
      </c>
      <c r="K1749" s="1">
        <v>0</v>
      </c>
      <c r="L1749" s="1">
        <v>0</v>
      </c>
      <c r="M1749" s="1">
        <v>0</v>
      </c>
      <c r="N1749" s="1">
        <v>0</v>
      </c>
      <c r="V1749" s="1">
        <v>0</v>
      </c>
    </row>
    <row r="1750" spans="1:22" x14ac:dyDescent="0.2">
      <c r="A1750" s="1" t="s">
        <v>1629</v>
      </c>
      <c r="B1750" s="1" t="s">
        <v>1757</v>
      </c>
      <c r="C1750" s="1">
        <v>0</v>
      </c>
      <c r="D1750" s="1">
        <v>0</v>
      </c>
      <c r="E1750" s="1">
        <v>0</v>
      </c>
      <c r="F1750" s="1">
        <v>0</v>
      </c>
      <c r="G1750" s="1">
        <v>0</v>
      </c>
      <c r="H1750" s="1">
        <v>0</v>
      </c>
      <c r="I1750" s="1">
        <v>0</v>
      </c>
      <c r="J1750" s="1">
        <v>0</v>
      </c>
      <c r="K1750" s="1">
        <v>0</v>
      </c>
      <c r="L1750" s="1">
        <v>0</v>
      </c>
      <c r="M1750" s="1">
        <v>0</v>
      </c>
      <c r="N1750" s="1">
        <v>0</v>
      </c>
      <c r="O1750" s="1">
        <v>0</v>
      </c>
      <c r="P1750" s="1">
        <v>0</v>
      </c>
      <c r="Q1750" s="1">
        <v>1</v>
      </c>
      <c r="R1750" s="1">
        <v>0</v>
      </c>
      <c r="S1750" s="1">
        <v>0</v>
      </c>
      <c r="T1750" s="1">
        <v>17</v>
      </c>
      <c r="U1750" s="1">
        <v>21</v>
      </c>
      <c r="V1750" s="1">
        <v>2</v>
      </c>
    </row>
    <row r="1751" spans="1:22" x14ac:dyDescent="0.2">
      <c r="A1751" s="1" t="s">
        <v>1629</v>
      </c>
      <c r="B1751" s="1" t="s">
        <v>1758</v>
      </c>
      <c r="C1751" s="1">
        <v>0</v>
      </c>
      <c r="D1751" s="1">
        <v>0</v>
      </c>
      <c r="E1751" s="1">
        <v>0</v>
      </c>
      <c r="F1751" s="1">
        <v>0</v>
      </c>
      <c r="G1751" s="1">
        <v>0</v>
      </c>
      <c r="H1751" s="1">
        <v>0</v>
      </c>
      <c r="I1751" s="1">
        <v>0</v>
      </c>
      <c r="J1751" s="1">
        <v>0</v>
      </c>
      <c r="K1751" s="1">
        <v>0</v>
      </c>
      <c r="L1751" s="1">
        <v>0</v>
      </c>
      <c r="M1751" s="1">
        <v>0</v>
      </c>
      <c r="N1751" s="1">
        <v>0</v>
      </c>
      <c r="O1751" s="1">
        <v>0</v>
      </c>
      <c r="P1751" s="1">
        <v>0</v>
      </c>
      <c r="Q1751" s="1">
        <v>0</v>
      </c>
      <c r="R1751" s="1">
        <v>0</v>
      </c>
      <c r="S1751" s="1">
        <v>0</v>
      </c>
      <c r="T1751" s="1">
        <v>20</v>
      </c>
      <c r="U1751" s="1">
        <v>31</v>
      </c>
      <c r="V1751" s="1">
        <v>16</v>
      </c>
    </row>
    <row r="1752" spans="1:22" x14ac:dyDescent="0.2">
      <c r="A1752" s="1" t="s">
        <v>1629</v>
      </c>
      <c r="B1752" s="1" t="s">
        <v>1759</v>
      </c>
      <c r="C1752" s="1">
        <v>3090</v>
      </c>
      <c r="D1752" s="1">
        <v>3169</v>
      </c>
      <c r="E1752" s="1">
        <v>3612</v>
      </c>
      <c r="F1752" s="1">
        <v>3533</v>
      </c>
      <c r="G1752" s="1">
        <v>3902</v>
      </c>
      <c r="H1752" s="1">
        <v>3792</v>
      </c>
      <c r="I1752" s="1">
        <v>2773</v>
      </c>
      <c r="J1752" s="1">
        <v>2817</v>
      </c>
      <c r="K1752" s="1">
        <v>2800</v>
      </c>
      <c r="L1752" s="1">
        <v>3669</v>
      </c>
      <c r="M1752" s="1">
        <v>3602</v>
      </c>
      <c r="N1752" s="1">
        <v>3329</v>
      </c>
      <c r="O1752" s="1">
        <v>4651</v>
      </c>
      <c r="P1752" s="1">
        <v>5447</v>
      </c>
      <c r="Q1752" s="1">
        <v>6121</v>
      </c>
      <c r="R1752" s="1">
        <v>6373</v>
      </c>
      <c r="S1752" s="1">
        <v>6570</v>
      </c>
      <c r="T1752" s="1">
        <v>9182</v>
      </c>
      <c r="U1752" s="1">
        <v>11123</v>
      </c>
      <c r="V1752" s="1">
        <v>12156</v>
      </c>
    </row>
    <row r="1753" spans="1:22" x14ac:dyDescent="0.2">
      <c r="A1753" s="1" t="s">
        <v>1629</v>
      </c>
      <c r="B1753" s="1" t="s">
        <v>1760</v>
      </c>
      <c r="C1753" s="1">
        <v>179</v>
      </c>
      <c r="D1753" s="1">
        <v>125</v>
      </c>
      <c r="E1753" s="1">
        <v>110</v>
      </c>
      <c r="F1753" s="1">
        <v>141</v>
      </c>
      <c r="G1753" s="1">
        <v>131</v>
      </c>
      <c r="H1753" s="1">
        <v>131</v>
      </c>
      <c r="I1753" s="1">
        <v>143</v>
      </c>
      <c r="J1753" s="1">
        <v>109</v>
      </c>
      <c r="K1753" s="1">
        <v>60</v>
      </c>
      <c r="L1753" s="1">
        <v>19</v>
      </c>
      <c r="M1753" s="1">
        <v>18</v>
      </c>
      <c r="N1753" s="1">
        <v>21</v>
      </c>
      <c r="O1753" s="1">
        <v>38</v>
      </c>
      <c r="P1753" s="1">
        <v>26</v>
      </c>
      <c r="Q1753" s="1">
        <v>17</v>
      </c>
      <c r="R1753" s="1">
        <v>30</v>
      </c>
      <c r="S1753" s="1">
        <v>15</v>
      </c>
      <c r="T1753" s="1">
        <v>0</v>
      </c>
      <c r="U1753" s="1">
        <v>0</v>
      </c>
      <c r="V1753" s="1">
        <v>5</v>
      </c>
    </row>
    <row r="1754" spans="1:22" x14ac:dyDescent="0.2">
      <c r="A1754" s="1" t="s">
        <v>1629</v>
      </c>
      <c r="B1754" s="1" t="s">
        <v>1761</v>
      </c>
      <c r="C1754" s="1">
        <v>0</v>
      </c>
      <c r="D1754" s="1">
        <v>0</v>
      </c>
      <c r="E1754" s="1">
        <v>0</v>
      </c>
      <c r="F1754" s="1">
        <v>0</v>
      </c>
      <c r="G1754" s="1">
        <v>0</v>
      </c>
      <c r="H1754" s="1">
        <v>0</v>
      </c>
      <c r="I1754" s="1">
        <v>0</v>
      </c>
      <c r="J1754" s="1">
        <v>0</v>
      </c>
      <c r="K1754" s="1">
        <v>0</v>
      </c>
      <c r="L1754" s="1">
        <v>0</v>
      </c>
      <c r="M1754" s="1">
        <v>5</v>
      </c>
      <c r="N1754" s="1">
        <v>8</v>
      </c>
      <c r="O1754" s="1">
        <v>4</v>
      </c>
      <c r="P1754" s="1">
        <v>4</v>
      </c>
      <c r="Q1754" s="1">
        <v>2</v>
      </c>
      <c r="R1754" s="1">
        <v>5</v>
      </c>
      <c r="S1754" s="1">
        <v>5</v>
      </c>
      <c r="T1754" s="1">
        <v>7</v>
      </c>
      <c r="U1754" s="1">
        <v>6</v>
      </c>
      <c r="V1754" s="1">
        <v>15</v>
      </c>
    </row>
    <row r="1755" spans="1:22" x14ac:dyDescent="0.2">
      <c r="A1755" s="1" t="s">
        <v>1629</v>
      </c>
      <c r="B1755" s="1" t="s">
        <v>1762</v>
      </c>
      <c r="C1755" s="1">
        <v>0</v>
      </c>
      <c r="D1755" s="1">
        <v>0</v>
      </c>
      <c r="E1755" s="1">
        <v>0</v>
      </c>
      <c r="F1755" s="1">
        <v>0</v>
      </c>
      <c r="G1755" s="1">
        <v>0</v>
      </c>
      <c r="H1755" s="1">
        <v>0</v>
      </c>
      <c r="I1755" s="1">
        <v>0</v>
      </c>
      <c r="J1755" s="1">
        <v>0</v>
      </c>
      <c r="K1755" s="1">
        <v>0</v>
      </c>
      <c r="L1755" s="1">
        <v>0</v>
      </c>
      <c r="M1755" s="1">
        <v>0</v>
      </c>
      <c r="N1755" s="1">
        <v>0</v>
      </c>
      <c r="O1755" s="1">
        <v>0</v>
      </c>
      <c r="P1755" s="1">
        <v>0</v>
      </c>
      <c r="Q1755" s="1">
        <v>4</v>
      </c>
      <c r="R1755" s="1">
        <v>0</v>
      </c>
      <c r="S1755" s="1">
        <v>0</v>
      </c>
      <c r="T1755" s="1">
        <v>451</v>
      </c>
      <c r="U1755" s="1">
        <v>2149</v>
      </c>
      <c r="V1755" s="1">
        <v>3306</v>
      </c>
    </row>
    <row r="1756" spans="1:22" x14ac:dyDescent="0.2">
      <c r="A1756" s="1" t="s">
        <v>1629</v>
      </c>
      <c r="B1756" s="1" t="s">
        <v>1763</v>
      </c>
      <c r="C1756" s="1">
        <v>477</v>
      </c>
      <c r="D1756" s="1">
        <v>332</v>
      </c>
      <c r="E1756" s="1">
        <v>218</v>
      </c>
      <c r="F1756" s="1">
        <v>238</v>
      </c>
      <c r="G1756" s="1">
        <v>249</v>
      </c>
      <c r="H1756" s="1">
        <v>236</v>
      </c>
      <c r="I1756" s="1">
        <v>166</v>
      </c>
      <c r="J1756" s="1">
        <v>123</v>
      </c>
      <c r="K1756" s="1">
        <v>153</v>
      </c>
      <c r="L1756" s="1">
        <v>167</v>
      </c>
      <c r="M1756" s="1">
        <v>136</v>
      </c>
      <c r="N1756" s="1">
        <v>122</v>
      </c>
      <c r="O1756" s="1">
        <v>114</v>
      </c>
      <c r="P1756" s="1">
        <v>85</v>
      </c>
      <c r="Q1756" s="1">
        <v>126</v>
      </c>
      <c r="R1756" s="1">
        <v>143</v>
      </c>
      <c r="S1756" s="1">
        <v>128</v>
      </c>
      <c r="T1756" s="1">
        <v>86</v>
      </c>
      <c r="U1756" s="1">
        <v>52</v>
      </c>
      <c r="V1756" s="1">
        <v>74</v>
      </c>
    </row>
    <row r="1757" spans="1:22" x14ac:dyDescent="0.2">
      <c r="A1757" s="1" t="s">
        <v>1629</v>
      </c>
      <c r="B1757" s="1" t="s">
        <v>1764</v>
      </c>
      <c r="C1757" s="1">
        <v>303</v>
      </c>
      <c r="D1757" s="1">
        <v>322</v>
      </c>
      <c r="E1757" s="1">
        <v>286</v>
      </c>
      <c r="F1757" s="1">
        <v>283</v>
      </c>
      <c r="G1757" s="1">
        <v>342</v>
      </c>
      <c r="H1757" s="1">
        <v>299</v>
      </c>
      <c r="I1757" s="1">
        <v>251</v>
      </c>
      <c r="J1757" s="1">
        <v>220</v>
      </c>
      <c r="K1757" s="1">
        <v>252</v>
      </c>
      <c r="L1757" s="1">
        <v>249</v>
      </c>
      <c r="M1757" s="1">
        <v>230</v>
      </c>
      <c r="N1757" s="1">
        <v>204</v>
      </c>
      <c r="O1757" s="1">
        <v>242</v>
      </c>
      <c r="P1757" s="1">
        <v>202</v>
      </c>
      <c r="Q1757" s="1">
        <v>221</v>
      </c>
      <c r="R1757" s="1">
        <v>193</v>
      </c>
      <c r="S1757" s="1">
        <v>189</v>
      </c>
      <c r="T1757" s="1">
        <v>171</v>
      </c>
      <c r="U1757" s="1">
        <v>167</v>
      </c>
      <c r="V1757" s="1">
        <v>201</v>
      </c>
    </row>
    <row r="1758" spans="1:22" x14ac:dyDescent="0.2">
      <c r="A1758" s="1" t="s">
        <v>1629</v>
      </c>
      <c r="B1758" s="1" t="s">
        <v>1765</v>
      </c>
      <c r="C1758" s="1">
        <v>62</v>
      </c>
      <c r="D1758" s="1">
        <v>95</v>
      </c>
      <c r="E1758" s="1">
        <v>142</v>
      </c>
      <c r="F1758" s="1">
        <v>155</v>
      </c>
      <c r="G1758" s="1">
        <v>161</v>
      </c>
      <c r="H1758" s="1">
        <v>119</v>
      </c>
      <c r="I1758" s="1">
        <v>139</v>
      </c>
      <c r="J1758" s="1">
        <v>166</v>
      </c>
      <c r="K1758" s="1">
        <v>378</v>
      </c>
      <c r="L1758" s="1">
        <v>264</v>
      </c>
      <c r="M1758" s="1">
        <v>273</v>
      </c>
      <c r="N1758" s="1">
        <v>243</v>
      </c>
      <c r="O1758" s="1">
        <v>410</v>
      </c>
      <c r="P1758" s="1">
        <v>390</v>
      </c>
      <c r="Q1758" s="1">
        <v>353</v>
      </c>
      <c r="R1758" s="1">
        <v>450</v>
      </c>
      <c r="S1758" s="1">
        <v>752</v>
      </c>
      <c r="T1758" s="1">
        <v>631</v>
      </c>
      <c r="U1758" s="1">
        <v>721</v>
      </c>
      <c r="V1758" s="1">
        <v>977</v>
      </c>
    </row>
    <row r="1759" spans="1:22" x14ac:dyDescent="0.2">
      <c r="A1759" s="1" t="s">
        <v>1629</v>
      </c>
      <c r="B1759" s="1" t="s">
        <v>1766</v>
      </c>
      <c r="C1759" s="1">
        <v>0</v>
      </c>
      <c r="D1759" s="1">
        <v>3</v>
      </c>
      <c r="E1759" s="1">
        <v>1</v>
      </c>
      <c r="F1759" s="1">
        <v>5</v>
      </c>
      <c r="G1759" s="1">
        <v>0</v>
      </c>
      <c r="H1759" s="1">
        <v>2</v>
      </c>
      <c r="I1759" s="1">
        <v>3</v>
      </c>
      <c r="J1759" s="1">
        <v>2</v>
      </c>
      <c r="K1759" s="1">
        <v>8</v>
      </c>
      <c r="L1759" s="1">
        <v>2</v>
      </c>
      <c r="M1759" s="1">
        <v>1</v>
      </c>
      <c r="N1759" s="1">
        <v>2</v>
      </c>
      <c r="O1759" s="1">
        <v>3</v>
      </c>
      <c r="P1759" s="1">
        <v>2</v>
      </c>
      <c r="Q1759" s="1">
        <v>2</v>
      </c>
      <c r="R1759" s="1">
        <v>0</v>
      </c>
      <c r="S1759" s="1">
        <v>1</v>
      </c>
      <c r="T1759" s="1">
        <v>0</v>
      </c>
      <c r="U1759" s="1">
        <v>0</v>
      </c>
      <c r="V1759" s="1">
        <v>1</v>
      </c>
    </row>
    <row r="1760" spans="1:22" x14ac:dyDescent="0.2">
      <c r="A1760" s="1" t="s">
        <v>1629</v>
      </c>
      <c r="B1760" s="1" t="s">
        <v>1767</v>
      </c>
      <c r="C1760" s="1">
        <v>151</v>
      </c>
      <c r="D1760" s="1">
        <v>190</v>
      </c>
      <c r="E1760" s="1">
        <v>226</v>
      </c>
      <c r="F1760" s="1">
        <v>188</v>
      </c>
      <c r="G1760" s="1">
        <v>200</v>
      </c>
      <c r="H1760" s="1">
        <v>224</v>
      </c>
      <c r="I1760" s="1">
        <v>160</v>
      </c>
      <c r="J1760" s="1">
        <v>192</v>
      </c>
      <c r="K1760" s="1">
        <v>187</v>
      </c>
      <c r="L1760" s="1">
        <v>155</v>
      </c>
      <c r="M1760" s="1">
        <v>141</v>
      </c>
      <c r="N1760" s="1">
        <v>172</v>
      </c>
      <c r="O1760" s="1">
        <v>179</v>
      </c>
      <c r="P1760" s="1">
        <v>128</v>
      </c>
      <c r="Q1760" s="1">
        <v>122</v>
      </c>
      <c r="R1760" s="1">
        <v>128</v>
      </c>
      <c r="S1760" s="1">
        <v>120</v>
      </c>
      <c r="T1760" s="1">
        <v>166</v>
      </c>
      <c r="U1760" s="1">
        <v>176</v>
      </c>
      <c r="V1760" s="1">
        <v>193</v>
      </c>
    </row>
    <row r="1761" spans="1:22" x14ac:dyDescent="0.2">
      <c r="A1761" s="1" t="s">
        <v>1629</v>
      </c>
      <c r="B1761" s="1" t="s">
        <v>1768</v>
      </c>
      <c r="C1761" s="1">
        <v>5</v>
      </c>
      <c r="D1761" s="1">
        <v>1</v>
      </c>
      <c r="E1761" s="1">
        <v>6</v>
      </c>
      <c r="F1761" s="1">
        <v>5</v>
      </c>
      <c r="G1761" s="1">
        <v>2</v>
      </c>
      <c r="H1761" s="1">
        <v>4</v>
      </c>
      <c r="I1761" s="1">
        <v>5</v>
      </c>
      <c r="J1761" s="1">
        <v>0</v>
      </c>
      <c r="K1761" s="1">
        <v>16</v>
      </c>
      <c r="L1761" s="1">
        <v>8</v>
      </c>
      <c r="M1761" s="1">
        <v>3</v>
      </c>
      <c r="N1761" s="1">
        <v>6</v>
      </c>
      <c r="O1761" s="1">
        <v>3</v>
      </c>
      <c r="P1761" s="1">
        <v>7</v>
      </c>
      <c r="Q1761" s="1">
        <v>7</v>
      </c>
      <c r="R1761" s="1">
        <v>2</v>
      </c>
      <c r="S1761" s="1">
        <v>2</v>
      </c>
      <c r="T1761" s="1">
        <v>2</v>
      </c>
      <c r="U1761" s="1">
        <v>6</v>
      </c>
      <c r="V1761" s="1">
        <v>6</v>
      </c>
    </row>
    <row r="1762" spans="1:22" x14ac:dyDescent="0.2">
      <c r="A1762" s="1" t="s">
        <v>1629</v>
      </c>
      <c r="B1762" s="1" t="s">
        <v>1769</v>
      </c>
      <c r="C1762" s="1">
        <v>0</v>
      </c>
      <c r="D1762" s="1">
        <v>0</v>
      </c>
      <c r="E1762" s="1">
        <v>0</v>
      </c>
      <c r="F1762" s="1">
        <v>23</v>
      </c>
      <c r="G1762" s="1">
        <v>62</v>
      </c>
      <c r="H1762" s="1">
        <v>180</v>
      </c>
      <c r="I1762" s="1">
        <v>354</v>
      </c>
      <c r="J1762" s="1">
        <v>672</v>
      </c>
      <c r="K1762" s="1">
        <v>371</v>
      </c>
      <c r="L1762" s="1">
        <v>470</v>
      </c>
      <c r="M1762" s="1">
        <v>232</v>
      </c>
      <c r="N1762" s="1">
        <v>451</v>
      </c>
      <c r="O1762" s="1">
        <v>238</v>
      </c>
      <c r="P1762" s="1">
        <v>194</v>
      </c>
      <c r="Q1762" s="1">
        <v>1035</v>
      </c>
      <c r="R1762" s="1">
        <v>1044</v>
      </c>
      <c r="S1762" s="1">
        <v>2101</v>
      </c>
      <c r="T1762" s="1">
        <v>2089</v>
      </c>
      <c r="U1762" s="1">
        <v>537</v>
      </c>
      <c r="V1762" s="1">
        <v>1706</v>
      </c>
    </row>
    <row r="1763" spans="1:22" x14ac:dyDescent="0.2">
      <c r="A1763" s="1" t="s">
        <v>1629</v>
      </c>
      <c r="B1763" s="1" t="s">
        <v>1770</v>
      </c>
      <c r="C1763" s="1">
        <v>10301</v>
      </c>
      <c r="D1763" s="1">
        <v>11403</v>
      </c>
      <c r="E1763" s="1">
        <v>11154</v>
      </c>
      <c r="F1763" s="1">
        <v>10730</v>
      </c>
      <c r="G1763" s="1">
        <v>10418</v>
      </c>
      <c r="H1763" s="1">
        <v>10336</v>
      </c>
      <c r="I1763" s="1">
        <v>10289</v>
      </c>
      <c r="J1763" s="1">
        <v>12136</v>
      </c>
      <c r="K1763" s="1">
        <v>13640</v>
      </c>
      <c r="L1763" s="1">
        <v>17419</v>
      </c>
      <c r="M1763" s="1">
        <v>15656</v>
      </c>
      <c r="N1763" s="1">
        <v>14719</v>
      </c>
      <c r="O1763" s="1">
        <v>27443</v>
      </c>
      <c r="P1763" s="1">
        <v>28869</v>
      </c>
      <c r="Q1763" s="1">
        <v>32276</v>
      </c>
      <c r="R1763" s="1">
        <v>29326</v>
      </c>
      <c r="S1763" s="1">
        <v>26727</v>
      </c>
      <c r="T1763" s="1">
        <v>26201</v>
      </c>
      <c r="U1763" s="1">
        <v>26828</v>
      </c>
      <c r="V1763" s="1">
        <v>27738</v>
      </c>
    </row>
    <row r="1764" spans="1:22" x14ac:dyDescent="0.2">
      <c r="A1764" s="1" t="s">
        <v>1629</v>
      </c>
      <c r="B1764" s="1" t="s">
        <v>1771</v>
      </c>
      <c r="C1764" s="1">
        <v>1</v>
      </c>
      <c r="D1764" s="1">
        <v>0</v>
      </c>
      <c r="E1764" s="1">
        <v>1</v>
      </c>
      <c r="F1764" s="1">
        <v>0</v>
      </c>
      <c r="G1764" s="1">
        <v>2</v>
      </c>
      <c r="H1764" s="1">
        <v>0</v>
      </c>
      <c r="I1764" s="1">
        <v>2</v>
      </c>
      <c r="J1764" s="1">
        <v>6</v>
      </c>
      <c r="K1764" s="1">
        <v>1</v>
      </c>
      <c r="L1764" s="1">
        <v>51</v>
      </c>
      <c r="M1764" s="1">
        <v>0</v>
      </c>
      <c r="N1764" s="1">
        <v>0</v>
      </c>
      <c r="V1764" s="1">
        <v>0</v>
      </c>
    </row>
    <row r="1765" spans="1:22" x14ac:dyDescent="0.2">
      <c r="A1765" s="1" t="s">
        <v>1629</v>
      </c>
      <c r="B1765" s="1" t="s">
        <v>1772</v>
      </c>
      <c r="C1765" s="1">
        <v>54</v>
      </c>
      <c r="D1765" s="1">
        <v>174</v>
      </c>
      <c r="E1765" s="1">
        <v>108</v>
      </c>
      <c r="F1765" s="1">
        <v>402</v>
      </c>
      <c r="G1765" s="1">
        <v>67</v>
      </c>
      <c r="H1765" s="1">
        <v>79</v>
      </c>
      <c r="I1765" s="1">
        <v>83</v>
      </c>
      <c r="J1765" s="1">
        <v>64</v>
      </c>
      <c r="K1765" s="1">
        <v>78</v>
      </c>
      <c r="L1765" s="1">
        <v>126</v>
      </c>
      <c r="M1765" s="1">
        <v>91</v>
      </c>
      <c r="N1765" s="1">
        <v>119</v>
      </c>
      <c r="O1765" s="1">
        <v>94</v>
      </c>
      <c r="P1765" s="1">
        <v>61</v>
      </c>
      <c r="Q1765" s="1">
        <v>136</v>
      </c>
      <c r="R1765" s="1">
        <v>117</v>
      </c>
      <c r="S1765" s="1">
        <v>36</v>
      </c>
      <c r="T1765" s="1">
        <v>342</v>
      </c>
      <c r="U1765" s="1">
        <v>292</v>
      </c>
      <c r="V1765" s="1">
        <v>290</v>
      </c>
    </row>
    <row r="1766" spans="1:22" x14ac:dyDescent="0.2">
      <c r="A1766" s="1" t="s">
        <v>1629</v>
      </c>
      <c r="B1766" s="1" t="s">
        <v>1773</v>
      </c>
      <c r="C1766" s="1">
        <v>0</v>
      </c>
      <c r="D1766" s="1">
        <v>0</v>
      </c>
      <c r="E1766" s="1">
        <v>0</v>
      </c>
      <c r="F1766" s="1">
        <v>0</v>
      </c>
      <c r="G1766" s="1">
        <v>0</v>
      </c>
      <c r="H1766" s="1">
        <v>0</v>
      </c>
      <c r="I1766" s="1">
        <v>0</v>
      </c>
      <c r="J1766" s="1">
        <v>0</v>
      </c>
      <c r="K1766" s="1">
        <v>0</v>
      </c>
      <c r="L1766" s="1">
        <v>0</v>
      </c>
      <c r="M1766" s="1">
        <v>4553</v>
      </c>
      <c r="N1766" s="1">
        <v>5765</v>
      </c>
      <c r="O1766" s="1">
        <v>2804</v>
      </c>
      <c r="P1766" s="1">
        <v>3902</v>
      </c>
      <c r="Q1766" s="1">
        <v>3600</v>
      </c>
      <c r="R1766" s="1">
        <v>4358</v>
      </c>
      <c r="S1766" s="1">
        <v>3145</v>
      </c>
      <c r="T1766" s="1">
        <v>3217</v>
      </c>
      <c r="U1766" s="1">
        <v>3774</v>
      </c>
      <c r="V1766" s="1">
        <v>3395</v>
      </c>
    </row>
    <row r="1767" spans="1:22" x14ac:dyDescent="0.2">
      <c r="A1767" s="1" t="s">
        <v>1629</v>
      </c>
      <c r="B1767" s="1" t="s">
        <v>1774</v>
      </c>
      <c r="C1767" s="1">
        <v>0</v>
      </c>
      <c r="D1767" s="1">
        <v>0</v>
      </c>
      <c r="E1767" s="1">
        <v>0</v>
      </c>
      <c r="F1767" s="1">
        <v>0</v>
      </c>
      <c r="G1767" s="1">
        <v>0</v>
      </c>
      <c r="H1767" s="1">
        <v>0</v>
      </c>
      <c r="I1767" s="1">
        <v>0</v>
      </c>
      <c r="J1767" s="1">
        <v>0</v>
      </c>
      <c r="K1767" s="1">
        <v>0</v>
      </c>
      <c r="L1767" s="1">
        <v>0</v>
      </c>
      <c r="M1767" s="1">
        <v>1</v>
      </c>
      <c r="N1767" s="1">
        <v>0</v>
      </c>
      <c r="O1767" s="1">
        <v>1</v>
      </c>
      <c r="P1767" s="1">
        <v>1</v>
      </c>
      <c r="Q1767" s="1">
        <v>1</v>
      </c>
      <c r="R1767" s="1">
        <v>9</v>
      </c>
      <c r="S1767" s="1">
        <v>1</v>
      </c>
      <c r="T1767" s="1">
        <v>0</v>
      </c>
      <c r="U1767" s="1">
        <v>0</v>
      </c>
      <c r="V1767" s="1">
        <v>0</v>
      </c>
    </row>
    <row r="1768" spans="1:22" x14ac:dyDescent="0.2">
      <c r="A1768" s="1" t="s">
        <v>1629</v>
      </c>
      <c r="B1768" s="1" t="s">
        <v>1775</v>
      </c>
      <c r="C1768" s="1">
        <v>0</v>
      </c>
      <c r="D1768" s="1">
        <v>0</v>
      </c>
      <c r="E1768" s="1">
        <v>0</v>
      </c>
      <c r="F1768" s="1">
        <v>0</v>
      </c>
      <c r="G1768" s="1">
        <v>0</v>
      </c>
      <c r="H1768" s="1">
        <v>0</v>
      </c>
      <c r="I1768" s="1">
        <v>0</v>
      </c>
      <c r="J1768" s="1">
        <v>0</v>
      </c>
      <c r="K1768" s="1">
        <v>0</v>
      </c>
      <c r="L1768" s="1">
        <v>0</v>
      </c>
      <c r="M1768" s="1">
        <v>23</v>
      </c>
      <c r="N1768" s="1">
        <v>45</v>
      </c>
      <c r="O1768" s="1">
        <v>27</v>
      </c>
      <c r="P1768" s="1">
        <v>20</v>
      </c>
      <c r="Q1768" s="1">
        <v>11</v>
      </c>
      <c r="R1768" s="1">
        <v>0</v>
      </c>
      <c r="S1768" s="1">
        <v>11</v>
      </c>
      <c r="T1768" s="1">
        <v>1</v>
      </c>
      <c r="U1768" s="1">
        <v>38</v>
      </c>
      <c r="V1768" s="1">
        <v>36</v>
      </c>
    </row>
    <row r="1769" spans="1:22" x14ac:dyDescent="0.2">
      <c r="A1769" s="1" t="s">
        <v>1629</v>
      </c>
      <c r="B1769" s="1" t="s">
        <v>1776</v>
      </c>
      <c r="C1769" s="1">
        <v>0</v>
      </c>
      <c r="D1769" s="1">
        <v>0</v>
      </c>
      <c r="E1769" s="1">
        <v>0</v>
      </c>
      <c r="F1769" s="1">
        <v>0</v>
      </c>
      <c r="G1769" s="1">
        <v>0</v>
      </c>
      <c r="H1769" s="1">
        <v>0</v>
      </c>
      <c r="I1769" s="1">
        <v>0</v>
      </c>
      <c r="J1769" s="1">
        <v>0</v>
      </c>
      <c r="K1769" s="1">
        <v>0</v>
      </c>
      <c r="L1769" s="1">
        <v>0</v>
      </c>
      <c r="M1769" s="1">
        <v>4</v>
      </c>
      <c r="N1769" s="1">
        <v>2</v>
      </c>
      <c r="O1769" s="1">
        <v>1</v>
      </c>
      <c r="P1769" s="1">
        <v>3</v>
      </c>
      <c r="Q1769" s="1">
        <v>4</v>
      </c>
      <c r="R1769" s="1">
        <v>3</v>
      </c>
      <c r="S1769" s="1">
        <v>6</v>
      </c>
      <c r="T1769" s="1">
        <v>14</v>
      </c>
      <c r="U1769" s="1">
        <v>7</v>
      </c>
      <c r="V1769" s="1">
        <v>7</v>
      </c>
    </row>
    <row r="1770" spans="1:22" x14ac:dyDescent="0.2">
      <c r="A1770" s="1" t="s">
        <v>1629</v>
      </c>
      <c r="B1770" s="1" t="s">
        <v>1777</v>
      </c>
      <c r="C1770" s="1">
        <v>57</v>
      </c>
      <c r="D1770" s="1">
        <v>0</v>
      </c>
      <c r="E1770" s="1">
        <v>0</v>
      </c>
      <c r="F1770" s="1">
        <v>41</v>
      </c>
      <c r="G1770" s="1">
        <v>40</v>
      </c>
      <c r="H1770" s="1">
        <v>37</v>
      </c>
      <c r="I1770" s="1">
        <v>37</v>
      </c>
      <c r="J1770" s="1">
        <v>38</v>
      </c>
      <c r="K1770" s="1">
        <v>45</v>
      </c>
      <c r="L1770" s="1">
        <v>75</v>
      </c>
      <c r="M1770" s="1">
        <v>34</v>
      </c>
      <c r="N1770" s="1">
        <v>26</v>
      </c>
      <c r="O1770" s="1">
        <v>50</v>
      </c>
      <c r="P1770" s="1">
        <v>11</v>
      </c>
      <c r="Q1770" s="1">
        <v>23</v>
      </c>
      <c r="R1770" s="1">
        <v>28</v>
      </c>
      <c r="S1770" s="1">
        <v>38</v>
      </c>
      <c r="T1770" s="1">
        <v>46</v>
      </c>
      <c r="U1770" s="1">
        <v>44</v>
      </c>
      <c r="V1770" s="1">
        <v>32</v>
      </c>
    </row>
    <row r="1771" spans="1:22" x14ac:dyDescent="0.2">
      <c r="A1771" s="1" t="s">
        <v>1629</v>
      </c>
      <c r="B1771" s="1" t="s">
        <v>1778</v>
      </c>
      <c r="C1771" s="1">
        <v>0</v>
      </c>
      <c r="D1771" s="1">
        <v>0</v>
      </c>
      <c r="E1771" s="1">
        <v>0</v>
      </c>
      <c r="F1771" s="1">
        <v>0</v>
      </c>
      <c r="G1771" s="1">
        <v>0</v>
      </c>
      <c r="H1771" s="1">
        <v>0</v>
      </c>
      <c r="I1771" s="1">
        <v>0</v>
      </c>
      <c r="J1771" s="1">
        <v>0</v>
      </c>
      <c r="K1771" s="1">
        <v>0</v>
      </c>
      <c r="L1771" s="1">
        <v>0</v>
      </c>
      <c r="M1771" s="1">
        <v>23911</v>
      </c>
      <c r="N1771" s="1">
        <v>23286</v>
      </c>
      <c r="O1771" s="1">
        <v>13000</v>
      </c>
      <c r="P1771" s="1">
        <v>16428</v>
      </c>
      <c r="Q1771" s="1">
        <v>18775</v>
      </c>
      <c r="R1771" s="1">
        <v>21963</v>
      </c>
      <c r="S1771" s="1">
        <v>23231</v>
      </c>
      <c r="T1771" s="1">
        <v>23850</v>
      </c>
      <c r="U1771" s="1">
        <v>27696</v>
      </c>
      <c r="V1771" s="1">
        <v>29644</v>
      </c>
    </row>
    <row r="1772" spans="1:22" x14ac:dyDescent="0.2">
      <c r="A1772" s="1" t="s">
        <v>1629</v>
      </c>
      <c r="B1772" s="1" t="s">
        <v>1779</v>
      </c>
      <c r="C1772" s="1">
        <v>0</v>
      </c>
      <c r="D1772" s="1">
        <v>0</v>
      </c>
      <c r="E1772" s="1">
        <v>0</v>
      </c>
      <c r="F1772" s="1">
        <v>0</v>
      </c>
      <c r="G1772" s="1">
        <v>0</v>
      </c>
      <c r="H1772" s="1">
        <v>0</v>
      </c>
      <c r="I1772" s="1">
        <v>0</v>
      </c>
      <c r="J1772" s="1">
        <v>0</v>
      </c>
      <c r="K1772" s="1">
        <v>0</v>
      </c>
      <c r="L1772" s="1">
        <v>0</v>
      </c>
      <c r="M1772" s="1">
        <v>5</v>
      </c>
      <c r="N1772" s="1">
        <v>0</v>
      </c>
      <c r="O1772" s="1">
        <v>30</v>
      </c>
      <c r="P1772" s="1">
        <v>4</v>
      </c>
      <c r="Q1772" s="1">
        <v>2</v>
      </c>
      <c r="R1772" s="1">
        <v>0</v>
      </c>
      <c r="S1772" s="1">
        <v>0</v>
      </c>
      <c r="T1772" s="1">
        <v>0</v>
      </c>
      <c r="U1772" s="1">
        <v>0</v>
      </c>
      <c r="V1772" s="1">
        <v>0</v>
      </c>
    </row>
    <row r="1773" spans="1:22" x14ac:dyDescent="0.2">
      <c r="A1773" s="1" t="s">
        <v>1629</v>
      </c>
      <c r="B1773" s="1" t="s">
        <v>1780</v>
      </c>
      <c r="C1773" s="1">
        <v>0</v>
      </c>
      <c r="D1773" s="1">
        <v>0</v>
      </c>
      <c r="E1773" s="1">
        <v>0</v>
      </c>
      <c r="F1773" s="1">
        <v>0</v>
      </c>
      <c r="G1773" s="1">
        <v>0</v>
      </c>
      <c r="H1773" s="1">
        <v>0</v>
      </c>
      <c r="I1773" s="1">
        <v>0</v>
      </c>
      <c r="J1773" s="1">
        <v>0</v>
      </c>
      <c r="K1773" s="1">
        <v>0</v>
      </c>
      <c r="L1773" s="1">
        <v>0</v>
      </c>
      <c r="M1773" s="1">
        <v>482</v>
      </c>
      <c r="N1773" s="1">
        <v>518</v>
      </c>
      <c r="O1773" s="1">
        <v>441</v>
      </c>
      <c r="P1773" s="1">
        <v>497</v>
      </c>
      <c r="Q1773" s="1">
        <v>482</v>
      </c>
      <c r="R1773" s="1">
        <v>515</v>
      </c>
      <c r="S1773" s="1">
        <v>556</v>
      </c>
      <c r="T1773" s="1">
        <v>402</v>
      </c>
      <c r="U1773" s="1">
        <v>432</v>
      </c>
      <c r="V1773" s="1">
        <v>518</v>
      </c>
    </row>
    <row r="1774" spans="1:22" x14ac:dyDescent="0.2">
      <c r="A1774" s="1" t="s">
        <v>1629</v>
      </c>
      <c r="B1774" s="1" t="s">
        <v>1781</v>
      </c>
      <c r="C1774" s="1">
        <v>25799</v>
      </c>
      <c r="D1774" s="1">
        <v>29348</v>
      </c>
      <c r="E1774" s="1">
        <v>29388</v>
      </c>
      <c r="F1774" s="1">
        <v>35987</v>
      </c>
      <c r="G1774" s="1">
        <v>36010</v>
      </c>
      <c r="H1774" s="1">
        <v>37769</v>
      </c>
      <c r="I1774" s="1">
        <v>40948</v>
      </c>
      <c r="J1774" s="1">
        <v>39688</v>
      </c>
      <c r="K1774" s="1">
        <v>39917</v>
      </c>
      <c r="L1774" s="1">
        <v>44764</v>
      </c>
      <c r="M1774" s="1">
        <v>18523</v>
      </c>
      <c r="N1774" s="1">
        <v>16435</v>
      </c>
      <c r="O1774" s="1">
        <v>32421</v>
      </c>
      <c r="P1774" s="1">
        <v>31526</v>
      </c>
      <c r="Q1774" s="1">
        <v>33287</v>
      </c>
      <c r="R1774" s="1">
        <v>26278</v>
      </c>
      <c r="S1774" s="1">
        <v>23253</v>
      </c>
      <c r="T1774" s="1">
        <v>25217</v>
      </c>
      <c r="U1774" s="1">
        <v>25449</v>
      </c>
      <c r="V1774" s="1">
        <v>23001</v>
      </c>
    </row>
    <row r="1775" spans="1:22" x14ac:dyDescent="0.2">
      <c r="A1775" s="1" t="s">
        <v>1629</v>
      </c>
      <c r="B1775" s="1" t="s">
        <v>1782</v>
      </c>
      <c r="C1775" s="1">
        <v>17</v>
      </c>
      <c r="D1775" s="1">
        <v>6</v>
      </c>
      <c r="E1775" s="1">
        <v>3</v>
      </c>
      <c r="F1775" s="1">
        <v>3</v>
      </c>
      <c r="G1775" s="1">
        <v>8</v>
      </c>
      <c r="H1775" s="1">
        <v>133</v>
      </c>
      <c r="I1775" s="1">
        <v>8</v>
      </c>
      <c r="J1775" s="1">
        <v>4</v>
      </c>
      <c r="K1775" s="1">
        <v>4</v>
      </c>
      <c r="L1775" s="1">
        <v>4</v>
      </c>
      <c r="M1775" s="1">
        <v>33</v>
      </c>
      <c r="N1775" s="1">
        <v>10</v>
      </c>
      <c r="O1775" s="1">
        <v>3</v>
      </c>
      <c r="P1775" s="1">
        <v>8</v>
      </c>
      <c r="Q1775" s="1">
        <v>9</v>
      </c>
      <c r="R1775" s="1">
        <v>8</v>
      </c>
      <c r="S1775" s="1">
        <v>0</v>
      </c>
      <c r="T1775" s="1">
        <v>0</v>
      </c>
      <c r="U1775" s="1">
        <v>0</v>
      </c>
      <c r="V1775" s="1">
        <v>0</v>
      </c>
    </row>
    <row r="1776" spans="1:22" x14ac:dyDescent="0.2">
      <c r="A1776" s="1" t="s">
        <v>1629</v>
      </c>
      <c r="B1776" s="1" t="s">
        <v>1783</v>
      </c>
      <c r="C1776" s="1">
        <v>408</v>
      </c>
      <c r="D1776" s="1">
        <v>670</v>
      </c>
      <c r="E1776" s="1">
        <v>1064</v>
      </c>
      <c r="F1776" s="1">
        <v>713</v>
      </c>
      <c r="G1776" s="1">
        <v>672</v>
      </c>
      <c r="H1776" s="1">
        <v>736</v>
      </c>
      <c r="I1776" s="1">
        <v>629</v>
      </c>
      <c r="J1776" s="1">
        <v>600</v>
      </c>
      <c r="K1776" s="1">
        <v>786</v>
      </c>
      <c r="L1776" s="1">
        <v>777</v>
      </c>
      <c r="M1776" s="1">
        <v>231</v>
      </c>
      <c r="N1776" s="1">
        <v>178</v>
      </c>
      <c r="O1776" s="1">
        <v>231</v>
      </c>
      <c r="P1776" s="1">
        <v>256</v>
      </c>
      <c r="Q1776" s="1">
        <v>250</v>
      </c>
      <c r="R1776" s="1">
        <v>238</v>
      </c>
      <c r="S1776" s="1">
        <v>73</v>
      </c>
      <c r="T1776" s="1">
        <v>9</v>
      </c>
      <c r="U1776" s="1">
        <v>32</v>
      </c>
      <c r="V1776" s="1">
        <v>81</v>
      </c>
    </row>
    <row r="1777" spans="1:22" x14ac:dyDescent="0.2">
      <c r="A1777" s="1" t="s">
        <v>1629</v>
      </c>
      <c r="B1777" s="1" t="s">
        <v>1784</v>
      </c>
      <c r="C1777" s="1">
        <v>25</v>
      </c>
      <c r="D1777" s="1">
        <v>25</v>
      </c>
      <c r="E1777" s="1">
        <v>22</v>
      </c>
      <c r="F1777" s="1">
        <v>5</v>
      </c>
      <c r="G1777" s="1">
        <v>8</v>
      </c>
      <c r="H1777" s="1">
        <v>11</v>
      </c>
      <c r="I1777" s="1">
        <v>6</v>
      </c>
      <c r="J1777" s="1">
        <v>8</v>
      </c>
      <c r="K1777" s="1">
        <v>8</v>
      </c>
      <c r="L1777" s="1">
        <v>5</v>
      </c>
      <c r="M1777" s="1">
        <v>11</v>
      </c>
      <c r="N1777" s="1">
        <v>12</v>
      </c>
      <c r="O1777" s="1">
        <v>5</v>
      </c>
      <c r="P1777" s="1">
        <v>4</v>
      </c>
      <c r="Q1777" s="1">
        <v>4</v>
      </c>
      <c r="R1777" s="1">
        <v>11</v>
      </c>
      <c r="S1777" s="1">
        <v>17</v>
      </c>
      <c r="T1777" s="1">
        <v>10</v>
      </c>
      <c r="U1777" s="1">
        <v>11</v>
      </c>
      <c r="V1777" s="1">
        <v>13</v>
      </c>
    </row>
    <row r="1778" spans="1:22" x14ac:dyDescent="0.2">
      <c r="A1778" s="1" t="s">
        <v>1629</v>
      </c>
      <c r="B1778" s="1" t="s">
        <v>1785</v>
      </c>
      <c r="C1778" s="1">
        <v>0</v>
      </c>
      <c r="D1778" s="1">
        <v>0</v>
      </c>
      <c r="E1778" s="1">
        <v>0</v>
      </c>
      <c r="F1778" s="1">
        <v>0</v>
      </c>
      <c r="G1778" s="1">
        <v>0</v>
      </c>
      <c r="H1778" s="1">
        <v>0</v>
      </c>
      <c r="I1778" s="1">
        <v>0</v>
      </c>
      <c r="J1778" s="1">
        <v>0</v>
      </c>
      <c r="K1778" s="1">
        <v>4</v>
      </c>
      <c r="L1778" s="1">
        <v>0</v>
      </c>
      <c r="M1778" s="1">
        <v>0</v>
      </c>
      <c r="N1778" s="1">
        <v>0</v>
      </c>
      <c r="O1778" s="1">
        <v>0</v>
      </c>
      <c r="P1778" s="1">
        <v>1</v>
      </c>
      <c r="Q1778" s="1">
        <v>0</v>
      </c>
      <c r="R1778" s="1">
        <v>0</v>
      </c>
      <c r="S1778" s="1">
        <v>1</v>
      </c>
      <c r="T1778" s="1">
        <v>0</v>
      </c>
      <c r="U1778" s="1">
        <v>0</v>
      </c>
      <c r="V1778" s="1">
        <v>1</v>
      </c>
    </row>
    <row r="1779" spans="1:22" x14ac:dyDescent="0.2">
      <c r="A1779" s="1" t="s">
        <v>1629</v>
      </c>
      <c r="B1779" s="1" t="s">
        <v>1786</v>
      </c>
      <c r="C1779" s="1">
        <v>0</v>
      </c>
      <c r="D1779" s="1">
        <v>0</v>
      </c>
      <c r="E1779" s="1">
        <v>0</v>
      </c>
      <c r="F1779" s="1">
        <v>0</v>
      </c>
      <c r="G1779" s="1">
        <v>0</v>
      </c>
      <c r="H1779" s="1">
        <v>0</v>
      </c>
      <c r="I1779" s="1">
        <v>0</v>
      </c>
      <c r="J1779" s="1">
        <v>0</v>
      </c>
      <c r="K1779" s="1">
        <v>0</v>
      </c>
      <c r="L1779" s="1">
        <v>0</v>
      </c>
      <c r="M1779" s="1">
        <v>0</v>
      </c>
      <c r="N1779" s="1">
        <v>0</v>
      </c>
      <c r="O1779" s="1">
        <v>29</v>
      </c>
      <c r="P1779" s="1">
        <v>50</v>
      </c>
      <c r="Q1779" s="1">
        <v>90</v>
      </c>
      <c r="R1779" s="1">
        <v>212</v>
      </c>
      <c r="S1779" s="1">
        <v>335</v>
      </c>
      <c r="T1779" s="1">
        <v>459</v>
      </c>
      <c r="U1779" s="1">
        <v>445</v>
      </c>
      <c r="V1779" s="1">
        <v>622</v>
      </c>
    </row>
    <row r="1780" spans="1:22" x14ac:dyDescent="0.2">
      <c r="A1780" s="1" t="s">
        <v>1629</v>
      </c>
      <c r="B1780" s="1" t="s">
        <v>1787</v>
      </c>
      <c r="C1780" s="1">
        <v>1097</v>
      </c>
      <c r="D1780" s="1">
        <v>1013</v>
      </c>
      <c r="E1780" s="1">
        <v>1089</v>
      </c>
      <c r="F1780" s="1">
        <v>1175</v>
      </c>
      <c r="G1780" s="1">
        <v>1062</v>
      </c>
      <c r="H1780" s="1">
        <v>1148</v>
      </c>
      <c r="I1780" s="1">
        <v>1064</v>
      </c>
      <c r="J1780" s="1">
        <v>967</v>
      </c>
      <c r="K1780" s="1">
        <v>1120</v>
      </c>
      <c r="L1780" s="1">
        <v>1259</v>
      </c>
      <c r="M1780" s="1">
        <v>1169</v>
      </c>
      <c r="N1780" s="1">
        <v>1007</v>
      </c>
      <c r="O1780" s="1">
        <v>1141</v>
      </c>
      <c r="P1780" s="1">
        <v>1059</v>
      </c>
      <c r="Q1780" s="1">
        <v>915</v>
      </c>
      <c r="R1780" s="1">
        <v>906</v>
      </c>
      <c r="S1780" s="1">
        <v>1048</v>
      </c>
      <c r="T1780" s="1">
        <v>1062</v>
      </c>
      <c r="U1780" s="1">
        <v>1080</v>
      </c>
      <c r="V1780" s="1">
        <v>1218</v>
      </c>
    </row>
    <row r="1781" spans="1:22" x14ac:dyDescent="0.2">
      <c r="A1781" s="1" t="s">
        <v>1629</v>
      </c>
      <c r="B1781" s="1" t="s">
        <v>1788</v>
      </c>
      <c r="C1781" s="1">
        <v>156</v>
      </c>
      <c r="D1781" s="1">
        <v>185</v>
      </c>
      <c r="E1781" s="1">
        <v>157</v>
      </c>
      <c r="F1781" s="1">
        <v>143</v>
      </c>
      <c r="G1781" s="1">
        <v>73</v>
      </c>
      <c r="H1781" s="1">
        <v>79</v>
      </c>
      <c r="I1781" s="1">
        <v>71</v>
      </c>
      <c r="J1781" s="1">
        <v>39</v>
      </c>
      <c r="K1781" s="1">
        <v>40</v>
      </c>
      <c r="L1781" s="1">
        <v>64</v>
      </c>
      <c r="M1781" s="1">
        <v>31</v>
      </c>
      <c r="N1781" s="1">
        <v>27</v>
      </c>
      <c r="O1781" s="1">
        <v>28</v>
      </c>
      <c r="P1781" s="1">
        <v>49</v>
      </c>
      <c r="Q1781" s="1">
        <v>37</v>
      </c>
      <c r="R1781" s="1">
        <v>91</v>
      </c>
      <c r="S1781" s="1">
        <v>33</v>
      </c>
      <c r="T1781" s="1">
        <v>58</v>
      </c>
      <c r="U1781" s="1">
        <v>63</v>
      </c>
      <c r="V1781" s="1">
        <v>58</v>
      </c>
    </row>
    <row r="1782" spans="1:22" x14ac:dyDescent="0.2">
      <c r="A1782" s="1" t="s">
        <v>1629</v>
      </c>
      <c r="B1782" s="1" t="s">
        <v>1789</v>
      </c>
      <c r="C1782" s="1">
        <v>27</v>
      </c>
      <c r="D1782" s="1">
        <v>33</v>
      </c>
      <c r="E1782" s="1">
        <v>36</v>
      </c>
      <c r="F1782" s="1">
        <v>27</v>
      </c>
      <c r="G1782" s="1">
        <v>41</v>
      </c>
      <c r="H1782" s="1">
        <v>21</v>
      </c>
      <c r="I1782" s="1">
        <v>18</v>
      </c>
      <c r="J1782" s="1">
        <v>16</v>
      </c>
      <c r="K1782" s="1">
        <v>23</v>
      </c>
      <c r="L1782" s="1">
        <v>28</v>
      </c>
      <c r="M1782" s="1">
        <v>29</v>
      </c>
      <c r="N1782" s="1">
        <v>19</v>
      </c>
      <c r="O1782" s="1">
        <v>22</v>
      </c>
      <c r="P1782" s="1">
        <v>28</v>
      </c>
      <c r="Q1782" s="1">
        <v>27</v>
      </c>
      <c r="R1782" s="1">
        <v>8</v>
      </c>
      <c r="S1782" s="1">
        <v>38</v>
      </c>
      <c r="T1782" s="1">
        <v>25</v>
      </c>
      <c r="U1782" s="1">
        <v>40</v>
      </c>
      <c r="V1782" s="1">
        <v>44</v>
      </c>
    </row>
    <row r="1783" spans="1:22" x14ac:dyDescent="0.2">
      <c r="A1783" s="1" t="s">
        <v>1629</v>
      </c>
      <c r="B1783" s="1" t="s">
        <v>1790</v>
      </c>
      <c r="C1783" s="1">
        <f t="shared" ref="C1783:K1783" si="279">SUM(C1784:C1795)</f>
        <v>1329</v>
      </c>
      <c r="D1783" s="1">
        <f t="shared" si="279"/>
        <v>1099</v>
      </c>
      <c r="E1783" s="1">
        <f t="shared" si="279"/>
        <v>960</v>
      </c>
      <c r="F1783" s="1">
        <f t="shared" si="279"/>
        <v>1045</v>
      </c>
      <c r="G1783" s="1">
        <f t="shared" si="279"/>
        <v>706</v>
      </c>
      <c r="H1783" s="1">
        <f t="shared" si="279"/>
        <v>517</v>
      </c>
      <c r="I1783" s="1">
        <f t="shared" si="279"/>
        <v>344</v>
      </c>
      <c r="J1783" s="1">
        <f t="shared" si="279"/>
        <v>344</v>
      </c>
      <c r="K1783" s="1">
        <f t="shared" si="279"/>
        <v>342</v>
      </c>
      <c r="L1783" s="1">
        <f>SUM(L1784:L1795)</f>
        <v>477</v>
      </c>
      <c r="M1783" s="1">
        <f>SUM(M1784:M1795)</f>
        <v>445</v>
      </c>
      <c r="N1783" s="1">
        <f>SUM(N1784:N1795)</f>
        <v>342</v>
      </c>
      <c r="O1783" s="1">
        <f t="shared" ref="O1783:V1783" si="280">SUM(O1784:O1795)</f>
        <v>361</v>
      </c>
      <c r="P1783" s="1">
        <f t="shared" si="280"/>
        <v>256</v>
      </c>
      <c r="Q1783" s="1">
        <f t="shared" si="280"/>
        <v>247</v>
      </c>
      <c r="R1783" s="1">
        <f t="shared" si="280"/>
        <v>213</v>
      </c>
      <c r="S1783" s="1">
        <f t="shared" si="280"/>
        <v>205</v>
      </c>
      <c r="T1783" s="1">
        <f t="shared" si="280"/>
        <v>157</v>
      </c>
      <c r="U1783" s="1">
        <f t="shared" si="280"/>
        <v>147</v>
      </c>
      <c r="V1783" s="1">
        <f t="shared" si="280"/>
        <v>178</v>
      </c>
    </row>
    <row r="1784" spans="1:22" x14ac:dyDescent="0.2">
      <c r="A1784" s="1" t="s">
        <v>1629</v>
      </c>
      <c r="B1784" s="1" t="s">
        <v>1791</v>
      </c>
      <c r="C1784" s="1">
        <v>13</v>
      </c>
      <c r="D1784" s="1">
        <v>27</v>
      </c>
      <c r="E1784" s="1">
        <v>19</v>
      </c>
      <c r="F1784" s="1">
        <v>96</v>
      </c>
      <c r="G1784" s="1">
        <v>8</v>
      </c>
      <c r="H1784" s="1">
        <v>58</v>
      </c>
      <c r="I1784" s="1">
        <v>3</v>
      </c>
      <c r="J1784" s="1">
        <v>8</v>
      </c>
      <c r="K1784" s="1">
        <v>3</v>
      </c>
      <c r="L1784" s="1">
        <v>1</v>
      </c>
      <c r="M1784" s="1">
        <v>1</v>
      </c>
      <c r="N1784" s="1">
        <v>1</v>
      </c>
      <c r="O1784" s="1">
        <v>2</v>
      </c>
      <c r="P1784" s="1">
        <v>6</v>
      </c>
      <c r="Q1784" s="1">
        <v>2</v>
      </c>
      <c r="R1784" s="1">
        <v>0</v>
      </c>
      <c r="S1784" s="1">
        <v>0</v>
      </c>
      <c r="T1784" s="1">
        <v>0</v>
      </c>
      <c r="U1784" s="1">
        <v>0</v>
      </c>
      <c r="V1784" s="1">
        <v>1</v>
      </c>
    </row>
    <row r="1785" spans="1:22" x14ac:dyDescent="0.2">
      <c r="A1785" s="1" t="s">
        <v>1629</v>
      </c>
      <c r="B1785" s="1" t="s">
        <v>1792</v>
      </c>
      <c r="C1785" s="1">
        <v>0</v>
      </c>
      <c r="D1785" s="1">
        <v>0</v>
      </c>
      <c r="E1785" s="1">
        <v>0</v>
      </c>
      <c r="F1785" s="1">
        <v>0</v>
      </c>
      <c r="G1785" s="1">
        <v>0</v>
      </c>
      <c r="H1785" s="1">
        <v>0</v>
      </c>
      <c r="I1785" s="1">
        <v>0</v>
      </c>
      <c r="J1785" s="1">
        <v>0</v>
      </c>
      <c r="K1785" s="1">
        <v>1</v>
      </c>
      <c r="L1785" s="1">
        <v>0</v>
      </c>
      <c r="M1785" s="1">
        <v>0</v>
      </c>
      <c r="N1785" s="1">
        <v>0</v>
      </c>
      <c r="O1785" s="1">
        <v>0</v>
      </c>
      <c r="P1785" s="1">
        <v>0</v>
      </c>
      <c r="Q1785" s="1">
        <v>0</v>
      </c>
      <c r="R1785" s="1">
        <v>1</v>
      </c>
      <c r="S1785" s="1">
        <v>1</v>
      </c>
      <c r="T1785" s="1">
        <v>0</v>
      </c>
      <c r="U1785" s="1">
        <v>0</v>
      </c>
      <c r="V1785" s="1">
        <v>3</v>
      </c>
    </row>
    <row r="1786" spans="1:22" x14ac:dyDescent="0.2">
      <c r="A1786" s="1" t="s">
        <v>1629</v>
      </c>
      <c r="B1786" s="1" t="s">
        <v>1793</v>
      </c>
      <c r="C1786" s="1">
        <v>2</v>
      </c>
      <c r="D1786" s="1">
        <v>0</v>
      </c>
      <c r="E1786" s="1">
        <v>0</v>
      </c>
      <c r="F1786" s="1">
        <v>0</v>
      </c>
      <c r="G1786" s="1">
        <v>0</v>
      </c>
      <c r="H1786" s="1">
        <v>0</v>
      </c>
      <c r="I1786" s="1">
        <v>0</v>
      </c>
      <c r="J1786" s="1">
        <v>0</v>
      </c>
      <c r="K1786" s="1">
        <v>0</v>
      </c>
      <c r="L1786" s="1">
        <v>1</v>
      </c>
      <c r="M1786" s="1">
        <v>0</v>
      </c>
      <c r="N1786" s="1">
        <v>0</v>
      </c>
      <c r="V1786" s="1">
        <v>0</v>
      </c>
    </row>
    <row r="1787" spans="1:22" x14ac:dyDescent="0.2">
      <c r="A1787" s="1" t="s">
        <v>1629</v>
      </c>
      <c r="B1787" s="1" t="s">
        <v>1794</v>
      </c>
      <c r="C1787" s="1">
        <v>4</v>
      </c>
      <c r="D1787" s="1">
        <v>6</v>
      </c>
      <c r="E1787" s="1">
        <v>9</v>
      </c>
      <c r="F1787" s="1">
        <v>11</v>
      </c>
      <c r="G1787" s="1">
        <v>21</v>
      </c>
      <c r="H1787" s="1">
        <v>18</v>
      </c>
      <c r="I1787" s="1">
        <v>30</v>
      </c>
      <c r="J1787" s="1">
        <v>43</v>
      </c>
      <c r="K1787" s="1">
        <v>41</v>
      </c>
      <c r="L1787" s="1">
        <v>44</v>
      </c>
      <c r="M1787" s="1">
        <v>63</v>
      </c>
      <c r="N1787" s="1">
        <v>41</v>
      </c>
      <c r="O1787" s="1">
        <v>34</v>
      </c>
      <c r="P1787" s="1">
        <v>22</v>
      </c>
      <c r="Q1787" s="1">
        <v>36</v>
      </c>
      <c r="R1787" s="1">
        <v>25</v>
      </c>
      <c r="S1787" s="1">
        <v>25</v>
      </c>
      <c r="T1787" s="1">
        <v>29</v>
      </c>
      <c r="U1787" s="1">
        <v>18</v>
      </c>
      <c r="V1787" s="1">
        <v>34</v>
      </c>
    </row>
    <row r="1788" spans="1:22" x14ac:dyDescent="0.2">
      <c r="A1788" s="1" t="s">
        <v>1629</v>
      </c>
      <c r="B1788" s="1" t="s">
        <v>1795</v>
      </c>
      <c r="C1788" s="1">
        <v>0</v>
      </c>
      <c r="D1788" s="1">
        <v>0</v>
      </c>
      <c r="E1788" s="1">
        <v>0</v>
      </c>
      <c r="F1788" s="1">
        <v>0</v>
      </c>
      <c r="G1788" s="1">
        <v>0</v>
      </c>
      <c r="H1788" s="1">
        <v>0</v>
      </c>
      <c r="I1788" s="1">
        <v>0</v>
      </c>
      <c r="J1788" s="1">
        <v>0</v>
      </c>
      <c r="K1788" s="1">
        <v>0</v>
      </c>
      <c r="L1788" s="1">
        <v>2</v>
      </c>
      <c r="M1788" s="1">
        <v>1</v>
      </c>
      <c r="N1788" s="1">
        <v>0</v>
      </c>
      <c r="O1788" s="1">
        <v>1</v>
      </c>
      <c r="P1788" s="1">
        <v>2</v>
      </c>
      <c r="Q1788" s="1">
        <v>2</v>
      </c>
      <c r="R1788" s="1">
        <v>2</v>
      </c>
      <c r="S1788" s="1">
        <v>7</v>
      </c>
      <c r="T1788" s="1">
        <v>15</v>
      </c>
      <c r="U1788" s="1">
        <v>34</v>
      </c>
      <c r="V1788" s="1">
        <v>41</v>
      </c>
    </row>
    <row r="1789" spans="1:22" x14ac:dyDescent="0.2">
      <c r="A1789" s="1" t="s">
        <v>1629</v>
      </c>
      <c r="B1789" s="1" t="s">
        <v>1796</v>
      </c>
      <c r="C1789" s="1">
        <v>1284</v>
      </c>
      <c r="D1789" s="1">
        <v>1026</v>
      </c>
      <c r="E1789" s="1">
        <v>894</v>
      </c>
      <c r="F1789" s="1">
        <v>900</v>
      </c>
      <c r="G1789" s="1">
        <v>650</v>
      </c>
      <c r="H1789" s="1">
        <v>417</v>
      </c>
      <c r="I1789" s="1">
        <v>285</v>
      </c>
      <c r="J1789" s="1">
        <v>274</v>
      </c>
      <c r="K1789" s="1">
        <v>279</v>
      </c>
      <c r="L1789" s="1">
        <v>407</v>
      </c>
      <c r="M1789" s="1">
        <v>357</v>
      </c>
      <c r="N1789" s="1">
        <v>270</v>
      </c>
      <c r="O1789" s="1">
        <v>307</v>
      </c>
      <c r="P1789" s="1">
        <v>213</v>
      </c>
      <c r="Q1789" s="1">
        <v>178</v>
      </c>
      <c r="R1789" s="1">
        <v>169</v>
      </c>
      <c r="S1789" s="1">
        <v>0</v>
      </c>
      <c r="T1789" s="1">
        <v>4</v>
      </c>
      <c r="U1789" s="1">
        <v>0</v>
      </c>
      <c r="V1789" s="1">
        <v>1</v>
      </c>
    </row>
    <row r="1790" spans="1:22" x14ac:dyDescent="0.2">
      <c r="A1790" s="1" t="s">
        <v>1629</v>
      </c>
      <c r="B1790" s="1" t="s">
        <v>1797</v>
      </c>
      <c r="C1790" s="1">
        <v>0</v>
      </c>
      <c r="D1790" s="1">
        <v>0</v>
      </c>
      <c r="E1790" s="1">
        <v>0</v>
      </c>
      <c r="F1790" s="1">
        <v>0</v>
      </c>
      <c r="G1790" s="1">
        <v>0</v>
      </c>
      <c r="H1790" s="1">
        <v>0</v>
      </c>
      <c r="I1790" s="1">
        <v>0</v>
      </c>
      <c r="J1790" s="1">
        <v>2</v>
      </c>
      <c r="K1790" s="1">
        <v>0</v>
      </c>
      <c r="L1790" s="1">
        <v>0</v>
      </c>
      <c r="M1790" s="1">
        <v>0</v>
      </c>
      <c r="N1790" s="1">
        <v>2</v>
      </c>
      <c r="O1790" s="1">
        <v>0</v>
      </c>
      <c r="P1790" s="1">
        <v>0</v>
      </c>
      <c r="Q1790" s="1">
        <v>0</v>
      </c>
      <c r="R1790" s="1">
        <v>1</v>
      </c>
      <c r="S1790" s="1">
        <v>0</v>
      </c>
      <c r="T1790" s="1">
        <v>0</v>
      </c>
      <c r="U1790" s="1">
        <v>0</v>
      </c>
      <c r="V1790" s="1">
        <v>0</v>
      </c>
    </row>
    <row r="1791" spans="1:22" x14ac:dyDescent="0.2">
      <c r="A1791" s="1" t="s">
        <v>1629</v>
      </c>
      <c r="B1791" s="1" t="s">
        <v>1798</v>
      </c>
      <c r="C1791" s="1">
        <v>1</v>
      </c>
      <c r="D1791" s="1">
        <v>2</v>
      </c>
      <c r="E1791" s="1">
        <v>7</v>
      </c>
      <c r="F1791" s="1">
        <v>9</v>
      </c>
      <c r="G1791" s="1">
        <v>5</v>
      </c>
      <c r="H1791" s="1">
        <v>1</v>
      </c>
      <c r="I1791" s="1">
        <v>2</v>
      </c>
      <c r="J1791" s="1">
        <v>0</v>
      </c>
      <c r="K1791" s="1">
        <v>1</v>
      </c>
      <c r="L1791" s="1">
        <v>1</v>
      </c>
      <c r="M1791" s="1">
        <v>2</v>
      </c>
      <c r="N1791" s="1">
        <v>1</v>
      </c>
      <c r="O1791" s="1">
        <v>1</v>
      </c>
      <c r="P1791" s="1">
        <v>1</v>
      </c>
      <c r="Q1791" s="1">
        <v>3</v>
      </c>
      <c r="R1791" s="1">
        <v>0</v>
      </c>
      <c r="S1791" s="1">
        <v>1</v>
      </c>
      <c r="T1791" s="1">
        <v>2</v>
      </c>
      <c r="U1791" s="1">
        <v>3</v>
      </c>
      <c r="V1791" s="1">
        <v>1</v>
      </c>
    </row>
    <row r="1792" spans="1:22" x14ac:dyDescent="0.2">
      <c r="A1792" s="1" t="s">
        <v>1629</v>
      </c>
      <c r="B1792" s="1" t="s">
        <v>1799</v>
      </c>
      <c r="C1792" s="1">
        <v>0</v>
      </c>
      <c r="D1792" s="1">
        <v>0</v>
      </c>
      <c r="E1792" s="1">
        <v>0</v>
      </c>
      <c r="F1792" s="1">
        <v>0</v>
      </c>
      <c r="G1792" s="1">
        <v>0</v>
      </c>
      <c r="H1792" s="1">
        <v>0</v>
      </c>
      <c r="I1792" s="1">
        <v>0</v>
      </c>
      <c r="J1792" s="1">
        <v>5</v>
      </c>
      <c r="K1792" s="1">
        <v>0</v>
      </c>
      <c r="L1792" s="1">
        <v>0</v>
      </c>
      <c r="M1792" s="1">
        <v>3</v>
      </c>
      <c r="N1792" s="1">
        <v>0</v>
      </c>
      <c r="O1792" s="1">
        <v>0</v>
      </c>
      <c r="P1792" s="1">
        <v>0</v>
      </c>
      <c r="Q1792" s="1">
        <v>1</v>
      </c>
      <c r="R1792" s="1">
        <v>0</v>
      </c>
      <c r="S1792" s="1">
        <v>3</v>
      </c>
      <c r="T1792" s="1">
        <v>0</v>
      </c>
      <c r="U1792" s="1">
        <v>0</v>
      </c>
      <c r="V1792" s="1">
        <v>0</v>
      </c>
    </row>
    <row r="1793" spans="1:22" x14ac:dyDescent="0.2">
      <c r="A1793" s="1" t="s">
        <v>1629</v>
      </c>
      <c r="B1793" s="1" t="s">
        <v>1800</v>
      </c>
      <c r="C1793" s="1">
        <v>17</v>
      </c>
      <c r="D1793" s="1">
        <v>24</v>
      </c>
      <c r="E1793" s="1">
        <v>16</v>
      </c>
      <c r="F1793" s="1">
        <v>13</v>
      </c>
      <c r="G1793" s="1">
        <v>12</v>
      </c>
      <c r="H1793" s="1">
        <v>16</v>
      </c>
      <c r="I1793" s="1">
        <v>16</v>
      </c>
      <c r="J1793" s="1">
        <v>6</v>
      </c>
      <c r="K1793" s="1">
        <v>14</v>
      </c>
      <c r="L1793" s="1">
        <v>13</v>
      </c>
      <c r="M1793" s="1">
        <v>15</v>
      </c>
      <c r="N1793" s="1">
        <v>15</v>
      </c>
      <c r="O1793" s="1">
        <v>12</v>
      </c>
      <c r="P1793" s="1">
        <v>7</v>
      </c>
      <c r="Q1793" s="1">
        <v>20</v>
      </c>
      <c r="R1793" s="1">
        <v>6</v>
      </c>
      <c r="S1793" s="1">
        <v>10</v>
      </c>
      <c r="T1793" s="1">
        <v>9</v>
      </c>
      <c r="U1793" s="1">
        <v>22</v>
      </c>
      <c r="V1793" s="1">
        <v>23</v>
      </c>
    </row>
    <row r="1794" spans="1:22" x14ac:dyDescent="0.2">
      <c r="A1794" s="1" t="s">
        <v>1629</v>
      </c>
      <c r="B1794" s="1" t="s">
        <v>1801</v>
      </c>
      <c r="C1794" s="1">
        <v>2</v>
      </c>
      <c r="D1794" s="1">
        <v>1</v>
      </c>
      <c r="E1794" s="1">
        <v>3</v>
      </c>
      <c r="F1794" s="1">
        <v>1</v>
      </c>
      <c r="G1794" s="1">
        <v>0</v>
      </c>
      <c r="H1794" s="1">
        <v>0</v>
      </c>
      <c r="I1794" s="1">
        <v>0</v>
      </c>
      <c r="J1794" s="1">
        <v>0</v>
      </c>
      <c r="K1794" s="1">
        <v>0</v>
      </c>
      <c r="L1794" s="1">
        <v>2</v>
      </c>
      <c r="M1794" s="1">
        <v>0</v>
      </c>
      <c r="N1794" s="1">
        <v>7</v>
      </c>
      <c r="O1794" s="1">
        <v>2</v>
      </c>
      <c r="P1794" s="1">
        <v>1</v>
      </c>
      <c r="Q1794" s="1">
        <v>0</v>
      </c>
      <c r="R1794" s="1">
        <v>3</v>
      </c>
      <c r="S1794" s="1">
        <v>149</v>
      </c>
      <c r="T1794" s="1">
        <v>91</v>
      </c>
      <c r="U1794" s="1">
        <v>60</v>
      </c>
      <c r="V1794" s="1">
        <v>59</v>
      </c>
    </row>
    <row r="1795" spans="1:22" x14ac:dyDescent="0.2">
      <c r="A1795" s="1" t="s">
        <v>1629</v>
      </c>
      <c r="B1795" s="1" t="s">
        <v>1802</v>
      </c>
      <c r="C1795" s="1">
        <v>6</v>
      </c>
      <c r="D1795" s="1">
        <v>13</v>
      </c>
      <c r="E1795" s="1">
        <v>12</v>
      </c>
      <c r="F1795" s="1">
        <v>15</v>
      </c>
      <c r="G1795" s="1">
        <v>10</v>
      </c>
      <c r="H1795" s="1">
        <v>7</v>
      </c>
      <c r="I1795" s="1">
        <v>8</v>
      </c>
      <c r="J1795" s="1">
        <v>6</v>
      </c>
      <c r="K1795" s="1">
        <v>3</v>
      </c>
      <c r="L1795" s="1">
        <v>6</v>
      </c>
      <c r="M1795" s="1">
        <v>3</v>
      </c>
      <c r="N1795" s="1">
        <v>5</v>
      </c>
      <c r="O1795" s="1">
        <v>2</v>
      </c>
      <c r="P1795" s="1">
        <v>4</v>
      </c>
      <c r="Q1795" s="1">
        <v>5</v>
      </c>
      <c r="R1795" s="1">
        <v>6</v>
      </c>
      <c r="S1795" s="1">
        <v>9</v>
      </c>
      <c r="T1795" s="1">
        <v>7</v>
      </c>
      <c r="U1795" s="1">
        <v>10</v>
      </c>
      <c r="V1795" s="1">
        <v>15</v>
      </c>
    </row>
    <row r="1796" spans="1:22" x14ac:dyDescent="0.2">
      <c r="A1796" s="1" t="s">
        <v>1629</v>
      </c>
      <c r="B1796" s="1" t="s">
        <v>1803</v>
      </c>
      <c r="C1796" s="1">
        <f t="shared" ref="C1796:K1796" si="281">SUM(C1797:C1819)</f>
        <v>226</v>
      </c>
      <c r="D1796" s="1">
        <f t="shared" si="281"/>
        <v>213</v>
      </c>
      <c r="E1796" s="1">
        <f t="shared" si="281"/>
        <v>295</v>
      </c>
      <c r="F1796" s="1">
        <f t="shared" si="281"/>
        <v>330</v>
      </c>
      <c r="G1796" s="1">
        <f t="shared" si="281"/>
        <v>339</v>
      </c>
      <c r="H1796" s="1">
        <f t="shared" si="281"/>
        <v>384</v>
      </c>
      <c r="I1796" s="1">
        <f t="shared" si="281"/>
        <v>471</v>
      </c>
      <c r="J1796" s="1">
        <f t="shared" si="281"/>
        <v>530</v>
      </c>
      <c r="K1796" s="1">
        <f t="shared" si="281"/>
        <v>617</v>
      </c>
      <c r="L1796" s="1">
        <f>SUM(L1797:L1819)</f>
        <v>5458</v>
      </c>
      <c r="M1796" s="1">
        <f>SUM(M1797:M1819)</f>
        <v>4301</v>
      </c>
      <c r="N1796" s="1">
        <f>SUM(N1797:N1819)</f>
        <v>3985</v>
      </c>
      <c r="O1796" s="1">
        <f t="shared" ref="O1796:V1796" si="282">SUM(O1797:O1819)</f>
        <v>4176</v>
      </c>
      <c r="P1796" s="1">
        <f t="shared" si="282"/>
        <v>4131</v>
      </c>
      <c r="Q1796" s="1">
        <f t="shared" si="282"/>
        <v>3882</v>
      </c>
      <c r="R1796" s="1">
        <f t="shared" si="282"/>
        <v>3932</v>
      </c>
      <c r="S1796" s="1">
        <f t="shared" si="282"/>
        <v>3783</v>
      </c>
      <c r="T1796" s="1">
        <f t="shared" si="282"/>
        <v>3754</v>
      </c>
      <c r="U1796" s="1">
        <f t="shared" si="282"/>
        <v>3885</v>
      </c>
      <c r="V1796" s="1">
        <f t="shared" si="282"/>
        <v>3730</v>
      </c>
    </row>
    <row r="1797" spans="1:22" x14ac:dyDescent="0.2">
      <c r="A1797" s="1" t="s">
        <v>1629</v>
      </c>
      <c r="B1797" s="1" t="s">
        <v>1804</v>
      </c>
      <c r="C1797" s="1">
        <v>0</v>
      </c>
      <c r="D1797" s="1">
        <v>0</v>
      </c>
      <c r="E1797" s="1">
        <v>0</v>
      </c>
      <c r="F1797" s="1">
        <v>0</v>
      </c>
      <c r="G1797" s="1">
        <v>0</v>
      </c>
      <c r="H1797" s="1">
        <v>0</v>
      </c>
      <c r="I1797" s="1">
        <v>0</v>
      </c>
      <c r="J1797" s="1">
        <v>0</v>
      </c>
      <c r="K1797" s="1">
        <v>1</v>
      </c>
      <c r="L1797" s="1">
        <v>0</v>
      </c>
      <c r="M1797" s="1">
        <v>0</v>
      </c>
      <c r="N1797" s="1">
        <v>0</v>
      </c>
      <c r="V1797" s="1">
        <v>0</v>
      </c>
    </row>
    <row r="1798" spans="1:22" x14ac:dyDescent="0.2">
      <c r="A1798" s="1" t="s">
        <v>1629</v>
      </c>
      <c r="B1798" s="1" t="s">
        <v>1805</v>
      </c>
      <c r="C1798" s="1">
        <v>0</v>
      </c>
      <c r="D1798" s="1">
        <v>0</v>
      </c>
      <c r="E1798" s="1">
        <v>0</v>
      </c>
      <c r="F1798" s="1">
        <v>57</v>
      </c>
      <c r="G1798" s="1">
        <v>113</v>
      </c>
      <c r="H1798" s="1">
        <v>116</v>
      </c>
      <c r="I1798" s="1">
        <v>219</v>
      </c>
      <c r="J1798" s="1">
        <v>252</v>
      </c>
      <c r="K1798" s="1">
        <v>371</v>
      </c>
      <c r="L1798" s="1">
        <v>330</v>
      </c>
      <c r="M1798" s="1">
        <v>318</v>
      </c>
      <c r="N1798" s="1">
        <v>368</v>
      </c>
      <c r="O1798" s="1">
        <v>376</v>
      </c>
      <c r="P1798" s="1">
        <v>487</v>
      </c>
      <c r="Q1798" s="1">
        <v>514</v>
      </c>
      <c r="R1798" s="1">
        <v>458</v>
      </c>
      <c r="S1798" s="1">
        <v>405</v>
      </c>
      <c r="T1798" s="1">
        <v>490</v>
      </c>
      <c r="U1798" s="1">
        <v>316</v>
      </c>
      <c r="V1798" s="1">
        <v>488</v>
      </c>
    </row>
    <row r="1799" spans="1:22" x14ac:dyDescent="0.2">
      <c r="A1799" s="1" t="s">
        <v>1629</v>
      </c>
      <c r="B1799" s="1" t="s">
        <v>1806</v>
      </c>
      <c r="C1799" s="1">
        <v>0</v>
      </c>
      <c r="D1799" s="1">
        <v>0</v>
      </c>
      <c r="E1799" s="1">
        <v>0</v>
      </c>
      <c r="F1799" s="1">
        <v>0</v>
      </c>
      <c r="G1799" s="1">
        <v>0</v>
      </c>
      <c r="H1799" s="1">
        <v>0</v>
      </c>
      <c r="I1799" s="1">
        <v>7</v>
      </c>
      <c r="J1799" s="1">
        <v>13</v>
      </c>
      <c r="K1799" s="1">
        <v>23</v>
      </c>
      <c r="L1799" s="1">
        <v>6</v>
      </c>
      <c r="M1799" s="1">
        <v>9</v>
      </c>
      <c r="N1799" s="1">
        <v>8</v>
      </c>
      <c r="O1799" s="1">
        <v>5</v>
      </c>
      <c r="P1799" s="1">
        <v>11</v>
      </c>
      <c r="Q1799" s="1">
        <v>3</v>
      </c>
      <c r="R1799" s="1">
        <v>2</v>
      </c>
      <c r="S1799" s="1">
        <v>11</v>
      </c>
      <c r="T1799" s="1">
        <v>1</v>
      </c>
      <c r="U1799" s="1">
        <v>0</v>
      </c>
      <c r="V1799" s="1">
        <v>10</v>
      </c>
    </row>
    <row r="1800" spans="1:22" x14ac:dyDescent="0.2">
      <c r="A1800" s="1" t="s">
        <v>1629</v>
      </c>
      <c r="B1800" s="1" t="s">
        <v>1807</v>
      </c>
      <c r="C1800" s="1">
        <v>0</v>
      </c>
      <c r="D1800" s="1">
        <v>0</v>
      </c>
      <c r="E1800" s="1">
        <v>0</v>
      </c>
      <c r="F1800" s="1">
        <v>0</v>
      </c>
      <c r="G1800" s="1">
        <v>0</v>
      </c>
      <c r="H1800" s="1">
        <v>0</v>
      </c>
      <c r="I1800" s="1">
        <v>0</v>
      </c>
      <c r="J1800" s="1">
        <v>0</v>
      </c>
      <c r="K1800" s="1">
        <v>0</v>
      </c>
      <c r="L1800" s="1">
        <v>0</v>
      </c>
      <c r="M1800" s="1">
        <v>3</v>
      </c>
      <c r="N1800" s="1">
        <v>1</v>
      </c>
      <c r="O1800" s="1">
        <v>0</v>
      </c>
      <c r="P1800" s="1">
        <v>1</v>
      </c>
      <c r="Q1800" s="1">
        <v>0</v>
      </c>
      <c r="R1800" s="1">
        <v>0</v>
      </c>
      <c r="S1800" s="1">
        <v>0</v>
      </c>
      <c r="T1800" s="1">
        <v>0</v>
      </c>
      <c r="U1800" s="1">
        <v>1</v>
      </c>
      <c r="V1800" s="1">
        <v>0</v>
      </c>
    </row>
    <row r="1801" spans="1:22" x14ac:dyDescent="0.2">
      <c r="A1801" s="1" t="s">
        <v>1629</v>
      </c>
      <c r="B1801" s="1" t="s">
        <v>1808</v>
      </c>
      <c r="C1801" s="1">
        <v>0</v>
      </c>
      <c r="D1801" s="1">
        <v>0</v>
      </c>
      <c r="E1801" s="1">
        <v>0</v>
      </c>
      <c r="F1801" s="1">
        <v>0</v>
      </c>
      <c r="G1801" s="1">
        <v>0</v>
      </c>
      <c r="H1801" s="1">
        <v>0</v>
      </c>
      <c r="I1801" s="1">
        <v>3</v>
      </c>
      <c r="J1801" s="1">
        <v>1</v>
      </c>
      <c r="K1801" s="1">
        <v>0</v>
      </c>
      <c r="L1801" s="1">
        <v>1</v>
      </c>
      <c r="M1801" s="1">
        <v>6</v>
      </c>
      <c r="N1801" s="1">
        <v>2</v>
      </c>
      <c r="O1801" s="1">
        <v>3</v>
      </c>
      <c r="P1801" s="1">
        <v>0</v>
      </c>
      <c r="Q1801" s="1">
        <v>3</v>
      </c>
      <c r="R1801" s="1">
        <v>0</v>
      </c>
      <c r="S1801" s="1">
        <v>3</v>
      </c>
      <c r="T1801" s="1">
        <v>3</v>
      </c>
      <c r="U1801" s="1">
        <v>0</v>
      </c>
      <c r="V1801" s="1">
        <v>2</v>
      </c>
    </row>
    <row r="1802" spans="1:22" x14ac:dyDescent="0.2">
      <c r="A1802" s="1" t="s">
        <v>1629</v>
      </c>
      <c r="B1802" s="1" t="s">
        <v>1809</v>
      </c>
      <c r="C1802" s="1">
        <v>0</v>
      </c>
      <c r="D1802" s="1">
        <v>0</v>
      </c>
      <c r="E1802" s="1">
        <v>0</v>
      </c>
      <c r="F1802" s="1">
        <v>0</v>
      </c>
      <c r="G1802" s="1">
        <v>0</v>
      </c>
      <c r="H1802" s="1">
        <v>0</v>
      </c>
      <c r="I1802" s="1">
        <v>0</v>
      </c>
      <c r="J1802" s="1">
        <v>0</v>
      </c>
      <c r="K1802" s="1">
        <v>0</v>
      </c>
      <c r="L1802" s="1">
        <v>4822</v>
      </c>
      <c r="M1802" s="1">
        <v>3688</v>
      </c>
      <c r="N1802" s="1">
        <v>3356</v>
      </c>
      <c r="O1802" s="1">
        <v>3487</v>
      </c>
      <c r="P1802" s="1">
        <v>3338</v>
      </c>
      <c r="Q1802" s="1">
        <v>3059</v>
      </c>
      <c r="R1802" s="1">
        <v>3164</v>
      </c>
      <c r="S1802" s="1">
        <v>3106</v>
      </c>
      <c r="T1802" s="1">
        <v>2965</v>
      </c>
      <c r="U1802" s="1">
        <v>3043</v>
      </c>
      <c r="V1802" s="1">
        <v>2898</v>
      </c>
    </row>
    <row r="1803" spans="1:22" x14ac:dyDescent="0.2">
      <c r="A1803" s="1" t="s">
        <v>1629</v>
      </c>
      <c r="B1803" s="1" t="s">
        <v>1810</v>
      </c>
      <c r="C1803" s="1">
        <v>3</v>
      </c>
      <c r="D1803" s="1">
        <v>2</v>
      </c>
      <c r="E1803" s="1">
        <v>2</v>
      </c>
      <c r="F1803" s="1">
        <v>13</v>
      </c>
      <c r="G1803" s="1">
        <v>7</v>
      </c>
      <c r="H1803" s="1">
        <v>15</v>
      </c>
      <c r="I1803" s="1">
        <v>6</v>
      </c>
      <c r="J1803" s="1">
        <v>5</v>
      </c>
      <c r="K1803" s="1">
        <v>3</v>
      </c>
      <c r="L1803" s="1">
        <v>3</v>
      </c>
      <c r="M1803" s="1">
        <v>1</v>
      </c>
      <c r="N1803" s="1">
        <v>4</v>
      </c>
      <c r="O1803" s="1">
        <v>6</v>
      </c>
      <c r="P1803" s="1">
        <v>1</v>
      </c>
      <c r="Q1803" s="1">
        <v>1</v>
      </c>
      <c r="R1803" s="1">
        <v>0</v>
      </c>
      <c r="S1803" s="1">
        <v>1</v>
      </c>
      <c r="T1803" s="1">
        <v>0</v>
      </c>
      <c r="U1803" s="1">
        <v>0</v>
      </c>
      <c r="V1803" s="1">
        <v>1</v>
      </c>
    </row>
    <row r="1804" spans="1:22" x14ac:dyDescent="0.2">
      <c r="A1804" s="1" t="s">
        <v>1629</v>
      </c>
      <c r="B1804" s="1" t="s">
        <v>1811</v>
      </c>
      <c r="C1804" s="1">
        <v>0</v>
      </c>
      <c r="D1804" s="1">
        <v>0</v>
      </c>
      <c r="E1804" s="1">
        <v>0</v>
      </c>
      <c r="F1804" s="1">
        <v>0</v>
      </c>
      <c r="G1804" s="1">
        <v>0</v>
      </c>
      <c r="H1804" s="1">
        <v>0</v>
      </c>
      <c r="I1804" s="1">
        <v>1</v>
      </c>
      <c r="J1804" s="1">
        <v>0</v>
      </c>
      <c r="K1804" s="1">
        <v>1</v>
      </c>
      <c r="L1804" s="1">
        <v>0</v>
      </c>
      <c r="M1804" s="1">
        <v>0</v>
      </c>
      <c r="N1804" s="1">
        <v>0</v>
      </c>
      <c r="O1804" s="1">
        <v>0</v>
      </c>
      <c r="P1804" s="1">
        <v>0</v>
      </c>
      <c r="Q1804" s="1">
        <v>0</v>
      </c>
      <c r="R1804" s="1">
        <v>1</v>
      </c>
      <c r="S1804" s="1">
        <v>0</v>
      </c>
      <c r="T1804" s="1">
        <v>2</v>
      </c>
      <c r="U1804" s="1">
        <v>8</v>
      </c>
      <c r="V1804" s="1">
        <v>3</v>
      </c>
    </row>
    <row r="1805" spans="1:22" x14ac:dyDescent="0.2">
      <c r="A1805" s="1" t="s">
        <v>1629</v>
      </c>
      <c r="B1805" s="1" t="s">
        <v>1812</v>
      </c>
      <c r="C1805" s="1">
        <v>1</v>
      </c>
      <c r="D1805" s="1">
        <v>6</v>
      </c>
      <c r="E1805" s="1">
        <v>2</v>
      </c>
      <c r="F1805" s="1">
        <v>5</v>
      </c>
      <c r="G1805" s="1">
        <v>2</v>
      </c>
      <c r="H1805" s="1">
        <v>0</v>
      </c>
      <c r="I1805" s="1">
        <v>0</v>
      </c>
      <c r="J1805" s="1">
        <v>2</v>
      </c>
      <c r="K1805" s="1">
        <v>1</v>
      </c>
      <c r="L1805" s="1">
        <v>2</v>
      </c>
      <c r="M1805" s="1">
        <v>1</v>
      </c>
      <c r="N1805" s="1">
        <v>2</v>
      </c>
      <c r="O1805" s="1">
        <v>1</v>
      </c>
      <c r="P1805" s="1">
        <v>1</v>
      </c>
      <c r="Q1805" s="1">
        <v>1</v>
      </c>
      <c r="R1805" s="1">
        <v>1</v>
      </c>
      <c r="S1805" s="1">
        <v>1</v>
      </c>
      <c r="T1805" s="1">
        <v>2</v>
      </c>
      <c r="U1805" s="1">
        <v>2</v>
      </c>
      <c r="V1805" s="1">
        <v>3</v>
      </c>
    </row>
    <row r="1806" spans="1:22" x14ac:dyDescent="0.2">
      <c r="A1806" s="1" t="s">
        <v>1629</v>
      </c>
      <c r="B1806" s="1" t="s">
        <v>1813</v>
      </c>
      <c r="C1806" s="1">
        <v>39</v>
      </c>
      <c r="D1806" s="1">
        <v>6</v>
      </c>
      <c r="E1806" s="1">
        <v>46</v>
      </c>
      <c r="F1806" s="1">
        <v>13</v>
      </c>
      <c r="G1806" s="1">
        <v>8</v>
      </c>
      <c r="H1806" s="1">
        <v>2</v>
      </c>
      <c r="I1806" s="1">
        <v>7</v>
      </c>
      <c r="J1806" s="1">
        <v>4</v>
      </c>
      <c r="K1806" s="1">
        <v>1</v>
      </c>
      <c r="L1806" s="1">
        <v>6</v>
      </c>
      <c r="M1806" s="1">
        <v>4</v>
      </c>
      <c r="N1806" s="1">
        <v>0</v>
      </c>
      <c r="O1806" s="1">
        <v>2</v>
      </c>
      <c r="P1806" s="1">
        <v>0</v>
      </c>
      <c r="Q1806" s="1">
        <v>0</v>
      </c>
      <c r="R1806" s="1">
        <v>0</v>
      </c>
      <c r="S1806" s="1">
        <v>1</v>
      </c>
      <c r="T1806" s="1">
        <v>0</v>
      </c>
      <c r="U1806" s="1">
        <v>0</v>
      </c>
      <c r="V1806" s="1">
        <v>0</v>
      </c>
    </row>
    <row r="1807" spans="1:22" x14ac:dyDescent="0.2">
      <c r="A1807" s="1" t="s">
        <v>1629</v>
      </c>
      <c r="B1807" s="1" t="s">
        <v>1814</v>
      </c>
      <c r="C1807" s="1">
        <v>0</v>
      </c>
      <c r="D1807" s="1">
        <v>0</v>
      </c>
      <c r="E1807" s="1">
        <v>0</v>
      </c>
      <c r="F1807" s="1">
        <v>0</v>
      </c>
      <c r="G1807" s="1">
        <v>1</v>
      </c>
      <c r="H1807" s="1">
        <v>1</v>
      </c>
      <c r="I1807" s="1">
        <v>9</v>
      </c>
      <c r="J1807" s="1">
        <v>2</v>
      </c>
      <c r="K1807" s="1">
        <v>2</v>
      </c>
      <c r="L1807" s="1">
        <v>1</v>
      </c>
      <c r="M1807" s="1">
        <v>0</v>
      </c>
      <c r="N1807" s="1">
        <v>0</v>
      </c>
      <c r="O1807" s="1">
        <v>0</v>
      </c>
      <c r="P1807" s="1">
        <v>0</v>
      </c>
      <c r="Q1807" s="1">
        <v>0</v>
      </c>
      <c r="R1807" s="1">
        <v>1</v>
      </c>
      <c r="S1807" s="1">
        <v>0</v>
      </c>
      <c r="T1807" s="1">
        <v>0</v>
      </c>
      <c r="U1807" s="1">
        <v>0</v>
      </c>
      <c r="V1807" s="1">
        <v>1</v>
      </c>
    </row>
    <row r="1808" spans="1:22" x14ac:dyDescent="0.2">
      <c r="A1808" s="1" t="s">
        <v>1629</v>
      </c>
      <c r="B1808" s="1" t="s">
        <v>1815</v>
      </c>
      <c r="C1808" s="1">
        <v>0</v>
      </c>
      <c r="D1808" s="1">
        <v>0</v>
      </c>
      <c r="E1808" s="1">
        <v>0</v>
      </c>
      <c r="F1808" s="1">
        <v>0</v>
      </c>
      <c r="G1808" s="1">
        <v>0</v>
      </c>
      <c r="H1808" s="1">
        <v>0</v>
      </c>
      <c r="I1808" s="1">
        <v>0</v>
      </c>
      <c r="J1808" s="1">
        <v>19</v>
      </c>
      <c r="K1808" s="1">
        <v>9</v>
      </c>
      <c r="L1808" s="1">
        <v>44</v>
      </c>
      <c r="M1808" s="1">
        <v>48</v>
      </c>
      <c r="N1808" s="1">
        <v>12</v>
      </c>
      <c r="O1808" s="1">
        <v>23</v>
      </c>
      <c r="P1808" s="1">
        <v>37</v>
      </c>
      <c r="Q1808" s="1">
        <v>42</v>
      </c>
      <c r="R1808" s="1">
        <v>28</v>
      </c>
      <c r="S1808" s="1">
        <v>11</v>
      </c>
      <c r="T1808" s="1">
        <f>16+5</f>
        <v>21</v>
      </c>
      <c r="U1808" s="1">
        <v>18</v>
      </c>
      <c r="V1808" s="1">
        <v>41</v>
      </c>
    </row>
    <row r="1809" spans="1:22" x14ac:dyDescent="0.2">
      <c r="A1809" s="1" t="s">
        <v>1629</v>
      </c>
      <c r="B1809" s="1" t="s">
        <v>1816</v>
      </c>
      <c r="C1809" s="1">
        <v>21</v>
      </c>
      <c r="D1809" s="1">
        <v>13</v>
      </c>
      <c r="E1809" s="1">
        <v>15</v>
      </c>
      <c r="F1809" s="1">
        <v>14</v>
      </c>
      <c r="G1809" s="1">
        <v>11</v>
      </c>
      <c r="H1809" s="1">
        <v>11</v>
      </c>
      <c r="I1809" s="1">
        <v>11</v>
      </c>
      <c r="J1809" s="1">
        <v>12</v>
      </c>
      <c r="K1809" s="1">
        <v>9</v>
      </c>
      <c r="L1809" s="1">
        <v>10</v>
      </c>
      <c r="M1809" s="1">
        <v>9</v>
      </c>
      <c r="N1809" s="1">
        <v>5</v>
      </c>
      <c r="O1809" s="1">
        <v>11</v>
      </c>
      <c r="P1809" s="1">
        <v>7</v>
      </c>
      <c r="Q1809" s="1">
        <v>4</v>
      </c>
      <c r="R1809" s="1">
        <v>7</v>
      </c>
      <c r="S1809" s="1">
        <v>4</v>
      </c>
      <c r="T1809" s="1">
        <v>0</v>
      </c>
      <c r="U1809" s="1">
        <v>0</v>
      </c>
      <c r="V1809" s="1">
        <v>0</v>
      </c>
    </row>
    <row r="1810" spans="1:22" x14ac:dyDescent="0.2">
      <c r="A1810" s="1" t="s">
        <v>1629</v>
      </c>
      <c r="B1810" s="1" t="s">
        <v>1817</v>
      </c>
      <c r="C1810" s="1">
        <v>148</v>
      </c>
      <c r="D1810" s="1">
        <v>175</v>
      </c>
      <c r="E1810" s="1">
        <v>203</v>
      </c>
      <c r="F1810" s="1">
        <v>205</v>
      </c>
      <c r="G1810" s="1">
        <v>162</v>
      </c>
      <c r="H1810" s="1">
        <v>196</v>
      </c>
      <c r="I1810" s="1">
        <v>183</v>
      </c>
      <c r="J1810" s="1">
        <v>182</v>
      </c>
      <c r="K1810" s="1">
        <v>155</v>
      </c>
      <c r="L1810" s="1">
        <v>191</v>
      </c>
      <c r="M1810" s="1">
        <v>185</v>
      </c>
      <c r="N1810" s="1">
        <v>196</v>
      </c>
      <c r="O1810" s="1">
        <v>218</v>
      </c>
      <c r="P1810" s="1">
        <v>223</v>
      </c>
      <c r="Q1810" s="1">
        <v>230</v>
      </c>
      <c r="R1810" s="1">
        <v>235</v>
      </c>
      <c r="S1810" s="1">
        <v>231</v>
      </c>
      <c r="T1810" s="1">
        <v>266</v>
      </c>
      <c r="U1810" s="1">
        <v>455</v>
      </c>
      <c r="V1810" s="1">
        <v>252</v>
      </c>
    </row>
    <row r="1811" spans="1:22" x14ac:dyDescent="0.2">
      <c r="A1811" s="1" t="s">
        <v>1629</v>
      </c>
      <c r="B1811" s="1" t="s">
        <v>1818</v>
      </c>
      <c r="C1811" s="1">
        <v>0</v>
      </c>
      <c r="D1811" s="1">
        <v>0</v>
      </c>
      <c r="E1811" s="1">
        <v>0</v>
      </c>
      <c r="F1811" s="1">
        <v>16</v>
      </c>
      <c r="G1811" s="1">
        <v>19</v>
      </c>
      <c r="H1811" s="1">
        <v>11</v>
      </c>
      <c r="I1811" s="1">
        <v>15</v>
      </c>
      <c r="J1811" s="1">
        <v>27</v>
      </c>
      <c r="K1811" s="1">
        <v>31</v>
      </c>
      <c r="L1811" s="1">
        <v>32</v>
      </c>
      <c r="M1811" s="1">
        <v>19</v>
      </c>
      <c r="N1811" s="1">
        <v>27</v>
      </c>
      <c r="O1811" s="1">
        <v>31</v>
      </c>
      <c r="P1811" s="1">
        <v>11</v>
      </c>
      <c r="Q1811" s="1">
        <v>22</v>
      </c>
      <c r="R1811" s="1">
        <v>17</v>
      </c>
      <c r="S1811" s="1">
        <v>8</v>
      </c>
      <c r="T1811" s="1">
        <v>3</v>
      </c>
      <c r="U1811" s="1">
        <v>42</v>
      </c>
      <c r="V1811" s="1">
        <v>26</v>
      </c>
    </row>
    <row r="1812" spans="1:22" x14ac:dyDescent="0.2">
      <c r="A1812" s="1" t="s">
        <v>1629</v>
      </c>
      <c r="B1812" s="1" t="s">
        <v>1819</v>
      </c>
      <c r="C1812" s="1">
        <v>1</v>
      </c>
      <c r="D1812" s="1">
        <v>0</v>
      </c>
      <c r="E1812" s="1">
        <v>0</v>
      </c>
      <c r="F1812" s="1">
        <v>0</v>
      </c>
      <c r="G1812" s="1">
        <v>0</v>
      </c>
      <c r="H1812" s="1">
        <v>2</v>
      </c>
      <c r="I1812" s="1">
        <v>0</v>
      </c>
      <c r="J1812" s="1">
        <v>2</v>
      </c>
      <c r="K1812" s="1">
        <v>4</v>
      </c>
      <c r="L1812" s="1">
        <v>2</v>
      </c>
      <c r="M1812" s="1">
        <v>1</v>
      </c>
      <c r="N1812" s="1">
        <v>0</v>
      </c>
      <c r="V1812" s="1">
        <v>0</v>
      </c>
    </row>
    <row r="1813" spans="1:22" x14ac:dyDescent="0.2">
      <c r="A1813" s="1" t="s">
        <v>1629</v>
      </c>
      <c r="B1813" s="1" t="s">
        <v>1820</v>
      </c>
      <c r="C1813" s="1">
        <v>0</v>
      </c>
      <c r="D1813" s="1">
        <v>0</v>
      </c>
      <c r="E1813" s="1">
        <v>0</v>
      </c>
      <c r="F1813" s="1">
        <v>0</v>
      </c>
      <c r="G1813" s="1">
        <v>0</v>
      </c>
      <c r="H1813" s="1">
        <v>0</v>
      </c>
      <c r="I1813" s="1">
        <v>0</v>
      </c>
      <c r="J1813" s="1">
        <v>0</v>
      </c>
      <c r="K1813" s="1">
        <v>0</v>
      </c>
      <c r="L1813" s="1">
        <v>1</v>
      </c>
      <c r="M1813" s="1">
        <v>0</v>
      </c>
      <c r="N1813" s="1">
        <v>1</v>
      </c>
      <c r="O1813" s="1">
        <v>2</v>
      </c>
      <c r="P1813" s="1">
        <v>4</v>
      </c>
      <c r="Q1813" s="1">
        <v>0</v>
      </c>
      <c r="R1813" s="1">
        <v>0</v>
      </c>
      <c r="S1813" s="1">
        <v>0</v>
      </c>
      <c r="T1813" s="1">
        <v>0</v>
      </c>
      <c r="U1813" s="1">
        <v>0</v>
      </c>
      <c r="V1813" s="1">
        <v>0</v>
      </c>
    </row>
    <row r="1814" spans="1:22" x14ac:dyDescent="0.2">
      <c r="A1814" s="1" t="s">
        <v>1629</v>
      </c>
      <c r="B1814" s="1" t="s">
        <v>1821</v>
      </c>
      <c r="C1814" s="1">
        <v>7</v>
      </c>
      <c r="D1814" s="1">
        <v>6</v>
      </c>
      <c r="E1814" s="1">
        <v>20</v>
      </c>
      <c r="F1814" s="1">
        <v>6</v>
      </c>
      <c r="G1814" s="1">
        <v>10</v>
      </c>
      <c r="H1814" s="1">
        <v>26</v>
      </c>
      <c r="I1814" s="1">
        <v>9</v>
      </c>
      <c r="J1814" s="1">
        <v>5</v>
      </c>
      <c r="K1814" s="1">
        <v>3</v>
      </c>
      <c r="L1814" s="1">
        <v>5</v>
      </c>
      <c r="M1814" s="1">
        <v>6</v>
      </c>
      <c r="N1814" s="1">
        <v>0</v>
      </c>
      <c r="O1814" s="1">
        <v>5</v>
      </c>
      <c r="P1814" s="1">
        <v>5</v>
      </c>
      <c r="Q1814" s="1">
        <v>3</v>
      </c>
      <c r="R1814" s="1">
        <v>4</v>
      </c>
      <c r="S1814" s="1">
        <v>0</v>
      </c>
      <c r="T1814" s="1">
        <v>0</v>
      </c>
      <c r="U1814" s="1">
        <v>0</v>
      </c>
      <c r="V1814" s="1">
        <v>0</v>
      </c>
    </row>
    <row r="1815" spans="1:22" x14ac:dyDescent="0.2">
      <c r="A1815" s="1" t="s">
        <v>1629</v>
      </c>
      <c r="B1815" s="1" t="s">
        <v>1822</v>
      </c>
      <c r="C1815" s="1">
        <v>1</v>
      </c>
      <c r="D1815" s="1">
        <v>0</v>
      </c>
      <c r="E1815" s="1">
        <v>1</v>
      </c>
      <c r="F1815" s="1">
        <v>0</v>
      </c>
      <c r="G1815" s="1">
        <v>4</v>
      </c>
      <c r="H1815" s="1">
        <v>4</v>
      </c>
      <c r="I1815" s="1">
        <v>0</v>
      </c>
      <c r="J1815" s="1">
        <v>1</v>
      </c>
      <c r="K1815" s="1">
        <v>0</v>
      </c>
      <c r="L1815" s="1">
        <v>2</v>
      </c>
      <c r="M1815" s="1">
        <v>1</v>
      </c>
      <c r="N1815" s="1">
        <v>2</v>
      </c>
      <c r="O1815" s="1">
        <v>5</v>
      </c>
      <c r="P1815" s="1">
        <v>1</v>
      </c>
      <c r="Q1815" s="1">
        <v>0</v>
      </c>
      <c r="R1815" s="1">
        <v>3</v>
      </c>
      <c r="S1815" s="1">
        <v>0</v>
      </c>
      <c r="T1815" s="1">
        <v>1</v>
      </c>
      <c r="U1815" s="1">
        <v>0</v>
      </c>
      <c r="V1815" s="1">
        <v>4</v>
      </c>
    </row>
    <row r="1816" spans="1:22" x14ac:dyDescent="0.2">
      <c r="A1816" s="1" t="s">
        <v>1629</v>
      </c>
      <c r="B1816" s="1" t="s">
        <v>1823</v>
      </c>
      <c r="C1816" s="1">
        <v>0</v>
      </c>
      <c r="D1816" s="1">
        <v>0</v>
      </c>
      <c r="E1816" s="1">
        <v>0</v>
      </c>
      <c r="F1816" s="1">
        <v>0</v>
      </c>
      <c r="G1816" s="1">
        <v>0</v>
      </c>
      <c r="H1816" s="1">
        <v>0</v>
      </c>
      <c r="I1816" s="1">
        <v>0</v>
      </c>
      <c r="J1816" s="1">
        <v>0</v>
      </c>
      <c r="K1816" s="1">
        <v>0</v>
      </c>
      <c r="L1816" s="1">
        <v>0</v>
      </c>
      <c r="M1816" s="1">
        <v>0</v>
      </c>
      <c r="N1816" s="1">
        <v>1</v>
      </c>
      <c r="V1816" s="1">
        <v>0</v>
      </c>
    </row>
    <row r="1817" spans="1:22" x14ac:dyDescent="0.2">
      <c r="A1817" s="1" t="s">
        <v>1629</v>
      </c>
      <c r="B1817" s="1" t="s">
        <v>1824</v>
      </c>
      <c r="C1817" s="1">
        <v>0</v>
      </c>
      <c r="D1817" s="1">
        <v>0</v>
      </c>
      <c r="E1817" s="1">
        <v>0</v>
      </c>
      <c r="F1817" s="1">
        <v>0</v>
      </c>
      <c r="G1817" s="1">
        <v>0</v>
      </c>
      <c r="H1817" s="1">
        <v>0</v>
      </c>
      <c r="I1817" s="1">
        <v>0</v>
      </c>
      <c r="J1817" s="1">
        <v>0</v>
      </c>
      <c r="K1817" s="1">
        <v>0</v>
      </c>
      <c r="L1817" s="1">
        <v>0</v>
      </c>
      <c r="M1817" s="1">
        <v>0</v>
      </c>
      <c r="N1817" s="1">
        <v>0</v>
      </c>
      <c r="O1817" s="1">
        <v>0</v>
      </c>
      <c r="P1817" s="1">
        <v>0</v>
      </c>
      <c r="Q1817" s="1">
        <v>0</v>
      </c>
      <c r="R1817" s="1">
        <v>11</v>
      </c>
      <c r="S1817" s="1">
        <v>0</v>
      </c>
      <c r="T1817" s="1">
        <v>0</v>
      </c>
      <c r="U1817" s="1">
        <v>0</v>
      </c>
      <c r="V1817" s="1">
        <v>0</v>
      </c>
    </row>
    <row r="1818" spans="1:22" x14ac:dyDescent="0.2">
      <c r="A1818" s="1" t="s">
        <v>1629</v>
      </c>
      <c r="B1818" s="1" t="s">
        <v>1825</v>
      </c>
      <c r="C1818" s="1">
        <v>0</v>
      </c>
      <c r="D1818" s="1">
        <v>0</v>
      </c>
      <c r="E1818" s="1">
        <v>0</v>
      </c>
      <c r="F1818" s="1">
        <v>0</v>
      </c>
      <c r="G1818" s="1">
        <v>0</v>
      </c>
      <c r="H1818" s="1">
        <v>0</v>
      </c>
      <c r="I1818" s="1">
        <v>0</v>
      </c>
      <c r="J1818" s="1">
        <v>1</v>
      </c>
      <c r="K1818" s="1">
        <v>2</v>
      </c>
      <c r="L1818" s="1">
        <v>0</v>
      </c>
      <c r="M1818" s="1">
        <v>2</v>
      </c>
      <c r="N1818" s="1">
        <v>0</v>
      </c>
      <c r="O1818" s="1">
        <v>1</v>
      </c>
      <c r="P1818" s="1">
        <v>2</v>
      </c>
      <c r="Q1818" s="1">
        <v>0</v>
      </c>
      <c r="R1818" s="1">
        <v>0</v>
      </c>
      <c r="S1818" s="1">
        <v>1</v>
      </c>
      <c r="T1818" s="1">
        <v>0</v>
      </c>
      <c r="U1818" s="1">
        <v>0</v>
      </c>
      <c r="V1818" s="1">
        <v>1</v>
      </c>
    </row>
    <row r="1819" spans="1:22" x14ac:dyDescent="0.2">
      <c r="A1819" s="1" t="s">
        <v>1629</v>
      </c>
      <c r="B1819" s="1" t="s">
        <v>1826</v>
      </c>
      <c r="C1819" s="1">
        <v>5</v>
      </c>
      <c r="D1819" s="1">
        <v>5</v>
      </c>
      <c r="E1819" s="1">
        <v>6</v>
      </c>
      <c r="F1819" s="1">
        <v>1</v>
      </c>
      <c r="G1819" s="1">
        <v>2</v>
      </c>
      <c r="H1819" s="1">
        <v>0</v>
      </c>
      <c r="I1819" s="1">
        <v>1</v>
      </c>
      <c r="J1819" s="1">
        <v>2</v>
      </c>
      <c r="K1819" s="1">
        <v>1</v>
      </c>
      <c r="L1819" s="1">
        <v>0</v>
      </c>
      <c r="M1819" s="1">
        <v>0</v>
      </c>
      <c r="N1819" s="1">
        <v>0</v>
      </c>
      <c r="O1819" s="1">
        <v>0</v>
      </c>
      <c r="P1819" s="1">
        <v>2</v>
      </c>
      <c r="Q1819" s="1">
        <v>0</v>
      </c>
      <c r="R1819" s="1">
        <v>0</v>
      </c>
      <c r="S1819" s="1">
        <v>0</v>
      </c>
      <c r="T1819" s="1">
        <v>0</v>
      </c>
      <c r="U1819" s="1">
        <v>0</v>
      </c>
      <c r="V1819" s="1">
        <v>0</v>
      </c>
    </row>
    <row r="1820" spans="1:22" x14ac:dyDescent="0.2">
      <c r="A1820" s="1" t="s">
        <v>1629</v>
      </c>
      <c r="B1820" s="1" t="s">
        <v>1827</v>
      </c>
      <c r="C1820" s="1">
        <f t="shared" ref="C1820:K1820" si="283">SUM(C1821:C1823)</f>
        <v>9</v>
      </c>
      <c r="D1820" s="1">
        <f t="shared" si="283"/>
        <v>12</v>
      </c>
      <c r="E1820" s="1">
        <f t="shared" si="283"/>
        <v>18</v>
      </c>
      <c r="F1820" s="1">
        <f t="shared" si="283"/>
        <v>4</v>
      </c>
      <c r="G1820" s="1">
        <f t="shared" si="283"/>
        <v>15</v>
      </c>
      <c r="H1820" s="1">
        <f t="shared" si="283"/>
        <v>7</v>
      </c>
      <c r="I1820" s="1">
        <f t="shared" si="283"/>
        <v>9</v>
      </c>
      <c r="J1820" s="1">
        <f t="shared" si="283"/>
        <v>6</v>
      </c>
      <c r="K1820" s="1">
        <f t="shared" si="283"/>
        <v>5</v>
      </c>
      <c r="L1820" s="1">
        <f>SUM(L1821:L1823)</f>
        <v>8</v>
      </c>
      <c r="M1820" s="1">
        <f>SUM(M1821:M1823)</f>
        <v>6</v>
      </c>
      <c r="N1820" s="1">
        <f>SUM(N1821:N1823)</f>
        <v>5</v>
      </c>
      <c r="O1820" s="1">
        <f t="shared" ref="O1820:V1820" si="284">SUM(O1821:O1823)</f>
        <v>15</v>
      </c>
      <c r="P1820" s="1">
        <f t="shared" si="284"/>
        <v>4</v>
      </c>
      <c r="Q1820" s="1">
        <f t="shared" si="284"/>
        <v>7</v>
      </c>
      <c r="R1820" s="1">
        <f t="shared" si="284"/>
        <v>4</v>
      </c>
      <c r="S1820" s="1">
        <f t="shared" si="284"/>
        <v>3</v>
      </c>
      <c r="T1820" s="1">
        <f t="shared" si="284"/>
        <v>9</v>
      </c>
      <c r="U1820" s="1">
        <f t="shared" si="284"/>
        <v>7</v>
      </c>
      <c r="V1820" s="1">
        <f t="shared" si="284"/>
        <v>24</v>
      </c>
    </row>
    <row r="1821" spans="1:22" x14ac:dyDescent="0.2">
      <c r="A1821" s="1" t="s">
        <v>1629</v>
      </c>
      <c r="B1821" s="1" t="s">
        <v>1828</v>
      </c>
      <c r="C1821" s="1">
        <v>6</v>
      </c>
      <c r="D1821" s="1">
        <v>6</v>
      </c>
      <c r="E1821" s="1">
        <v>15</v>
      </c>
      <c r="F1821" s="1">
        <v>4</v>
      </c>
      <c r="G1821" s="1">
        <v>12</v>
      </c>
      <c r="H1821" s="1">
        <v>7</v>
      </c>
      <c r="I1821" s="1">
        <v>7</v>
      </c>
      <c r="J1821" s="1">
        <v>5</v>
      </c>
      <c r="K1821" s="1">
        <v>3</v>
      </c>
      <c r="L1821" s="1">
        <v>6</v>
      </c>
      <c r="M1821" s="1">
        <v>2</v>
      </c>
      <c r="N1821" s="1">
        <v>3</v>
      </c>
      <c r="O1821" s="1">
        <v>5</v>
      </c>
      <c r="P1821" s="1">
        <v>3</v>
      </c>
      <c r="Q1821" s="1">
        <v>3</v>
      </c>
      <c r="R1821" s="1">
        <v>2</v>
      </c>
      <c r="S1821" s="1">
        <v>1</v>
      </c>
      <c r="T1821" s="1">
        <v>3</v>
      </c>
      <c r="U1821" s="1">
        <v>1</v>
      </c>
      <c r="V1821" s="1">
        <v>10</v>
      </c>
    </row>
    <row r="1822" spans="1:22" x14ac:dyDescent="0.2">
      <c r="A1822" s="1" t="s">
        <v>1629</v>
      </c>
      <c r="B1822" s="1" t="s">
        <v>1829</v>
      </c>
      <c r="C1822" s="1">
        <v>3</v>
      </c>
      <c r="D1822" s="1">
        <v>6</v>
      </c>
      <c r="E1822" s="1">
        <v>3</v>
      </c>
      <c r="F1822" s="1">
        <v>0</v>
      </c>
      <c r="G1822" s="1">
        <v>3</v>
      </c>
      <c r="H1822" s="1">
        <v>0</v>
      </c>
      <c r="I1822" s="1">
        <v>2</v>
      </c>
      <c r="J1822" s="1">
        <v>1</v>
      </c>
      <c r="K1822" s="1">
        <v>1</v>
      </c>
      <c r="L1822" s="1">
        <v>0</v>
      </c>
      <c r="M1822" s="1">
        <v>1</v>
      </c>
      <c r="N1822" s="1">
        <v>2</v>
      </c>
      <c r="O1822" s="1">
        <v>5</v>
      </c>
      <c r="P1822" s="1">
        <v>0</v>
      </c>
      <c r="Q1822" s="1">
        <v>2</v>
      </c>
      <c r="R1822" s="1">
        <v>2</v>
      </c>
      <c r="S1822" s="1">
        <v>0</v>
      </c>
      <c r="T1822" s="1">
        <v>3</v>
      </c>
      <c r="U1822" s="1">
        <v>3</v>
      </c>
      <c r="V1822" s="1">
        <v>6</v>
      </c>
    </row>
    <row r="1823" spans="1:22" x14ac:dyDescent="0.2">
      <c r="A1823" s="1" t="s">
        <v>1629</v>
      </c>
      <c r="B1823" s="1" t="s">
        <v>1830</v>
      </c>
      <c r="C1823" s="1">
        <v>0</v>
      </c>
      <c r="D1823" s="1">
        <v>0</v>
      </c>
      <c r="E1823" s="1">
        <v>0</v>
      </c>
      <c r="F1823" s="1">
        <v>0</v>
      </c>
      <c r="G1823" s="1">
        <v>0</v>
      </c>
      <c r="H1823" s="1">
        <v>0</v>
      </c>
      <c r="I1823" s="1">
        <v>0</v>
      </c>
      <c r="J1823" s="1">
        <v>0</v>
      </c>
      <c r="K1823" s="1">
        <v>1</v>
      </c>
      <c r="L1823" s="1">
        <v>2</v>
      </c>
      <c r="M1823" s="1">
        <v>3</v>
      </c>
      <c r="N1823" s="1">
        <v>0</v>
      </c>
      <c r="O1823" s="1">
        <v>5</v>
      </c>
      <c r="P1823" s="1">
        <v>1</v>
      </c>
      <c r="Q1823" s="1">
        <v>2</v>
      </c>
      <c r="R1823" s="1">
        <v>0</v>
      </c>
      <c r="S1823" s="1">
        <v>2</v>
      </c>
      <c r="T1823" s="1">
        <v>3</v>
      </c>
      <c r="U1823" s="1">
        <v>3</v>
      </c>
      <c r="V1823" s="1">
        <v>8</v>
      </c>
    </row>
    <row r="1824" spans="1:22" x14ac:dyDescent="0.2">
      <c r="A1824" s="1" t="s">
        <v>1629</v>
      </c>
      <c r="B1824" s="1" t="s">
        <v>1831</v>
      </c>
      <c r="C1824" s="1">
        <f t="shared" ref="C1824:K1824" si="285">SUM(C1825:C1834)</f>
        <v>3</v>
      </c>
      <c r="D1824" s="1">
        <f t="shared" si="285"/>
        <v>5</v>
      </c>
      <c r="E1824" s="1">
        <f t="shared" si="285"/>
        <v>3</v>
      </c>
      <c r="F1824" s="1">
        <f t="shared" si="285"/>
        <v>1</v>
      </c>
      <c r="G1824" s="1">
        <f t="shared" si="285"/>
        <v>12</v>
      </c>
      <c r="H1824" s="1">
        <f t="shared" si="285"/>
        <v>1</v>
      </c>
      <c r="I1824" s="1">
        <f t="shared" si="285"/>
        <v>1</v>
      </c>
      <c r="J1824" s="1">
        <f t="shared" si="285"/>
        <v>2</v>
      </c>
      <c r="K1824" s="1">
        <f t="shared" si="285"/>
        <v>4</v>
      </c>
      <c r="L1824" s="1">
        <f>SUM(L1825:L1834)</f>
        <v>6</v>
      </c>
      <c r="M1824" s="1">
        <f>SUM(M1825:M1834)</f>
        <v>4</v>
      </c>
      <c r="N1824" s="1">
        <f>SUM(N1825:N1834)</f>
        <v>6</v>
      </c>
      <c r="O1824" s="1">
        <f t="shared" ref="O1824:V1824" si="286">SUM(O1825:O1834)</f>
        <v>5</v>
      </c>
      <c r="P1824" s="1">
        <f t="shared" si="286"/>
        <v>5</v>
      </c>
      <c r="Q1824" s="1">
        <f t="shared" si="286"/>
        <v>5</v>
      </c>
      <c r="R1824" s="1">
        <f t="shared" si="286"/>
        <v>4</v>
      </c>
      <c r="S1824" s="1">
        <f t="shared" si="286"/>
        <v>6</v>
      </c>
      <c r="T1824" s="1">
        <f t="shared" si="286"/>
        <v>7</v>
      </c>
      <c r="U1824" s="1">
        <f t="shared" si="286"/>
        <v>4</v>
      </c>
      <c r="V1824" s="1">
        <f t="shared" si="286"/>
        <v>6</v>
      </c>
    </row>
    <row r="1825" spans="1:22" x14ac:dyDescent="0.2">
      <c r="A1825" s="1" t="s">
        <v>1629</v>
      </c>
      <c r="B1825" s="1" t="s">
        <v>1832</v>
      </c>
      <c r="C1825" s="1">
        <v>3</v>
      </c>
      <c r="D1825" s="1">
        <v>5</v>
      </c>
      <c r="E1825" s="1">
        <v>3</v>
      </c>
      <c r="F1825" s="1">
        <v>1</v>
      </c>
      <c r="G1825" s="1">
        <v>12</v>
      </c>
      <c r="H1825" s="1">
        <v>1</v>
      </c>
      <c r="I1825" s="1">
        <v>1</v>
      </c>
      <c r="J1825" s="1">
        <v>0</v>
      </c>
      <c r="K1825" s="1">
        <v>0</v>
      </c>
      <c r="L1825" s="1">
        <v>0</v>
      </c>
      <c r="M1825" s="1">
        <v>4</v>
      </c>
      <c r="N1825" s="1">
        <v>3</v>
      </c>
      <c r="O1825" s="1">
        <v>1</v>
      </c>
      <c r="P1825" s="1">
        <v>0</v>
      </c>
      <c r="Q1825" s="1">
        <v>0</v>
      </c>
      <c r="R1825" s="1">
        <v>0</v>
      </c>
      <c r="S1825" s="1">
        <v>0</v>
      </c>
      <c r="T1825" s="1">
        <v>0</v>
      </c>
      <c r="U1825" s="1">
        <v>0</v>
      </c>
      <c r="V1825" s="1">
        <v>1</v>
      </c>
    </row>
    <row r="1826" spans="1:22" x14ac:dyDescent="0.2">
      <c r="A1826" s="1" t="s">
        <v>1629</v>
      </c>
      <c r="B1826" s="1" t="s">
        <v>1833</v>
      </c>
      <c r="C1826" s="1">
        <v>0</v>
      </c>
      <c r="D1826" s="1">
        <v>0</v>
      </c>
      <c r="E1826" s="1">
        <v>0</v>
      </c>
      <c r="F1826" s="1">
        <v>0</v>
      </c>
      <c r="G1826" s="1">
        <v>0</v>
      </c>
      <c r="H1826" s="1">
        <v>0</v>
      </c>
      <c r="I1826" s="1">
        <v>0</v>
      </c>
      <c r="J1826" s="1">
        <v>0</v>
      </c>
      <c r="K1826" s="1">
        <v>0</v>
      </c>
      <c r="L1826" s="1">
        <v>0</v>
      </c>
      <c r="M1826" s="1">
        <v>0</v>
      </c>
      <c r="N1826" s="1">
        <v>0</v>
      </c>
      <c r="O1826" s="1">
        <v>0</v>
      </c>
      <c r="P1826" s="1">
        <v>1</v>
      </c>
      <c r="Q1826" s="1">
        <v>0</v>
      </c>
      <c r="R1826" s="1">
        <v>0</v>
      </c>
      <c r="S1826" s="1">
        <v>0</v>
      </c>
      <c r="T1826" s="1">
        <v>0</v>
      </c>
      <c r="U1826" s="1">
        <v>1</v>
      </c>
      <c r="V1826" s="1">
        <v>0</v>
      </c>
    </row>
    <row r="1827" spans="1:22" x14ac:dyDescent="0.2">
      <c r="A1827" s="1" t="s">
        <v>1629</v>
      </c>
      <c r="B1827" s="1" t="s">
        <v>1834</v>
      </c>
      <c r="C1827" s="1">
        <v>0</v>
      </c>
      <c r="D1827" s="1">
        <v>0</v>
      </c>
      <c r="E1827" s="1">
        <v>0</v>
      </c>
      <c r="F1827" s="1">
        <v>0</v>
      </c>
      <c r="G1827" s="1">
        <v>0</v>
      </c>
      <c r="H1827" s="1">
        <v>0</v>
      </c>
      <c r="I1827" s="1">
        <v>0</v>
      </c>
      <c r="J1827" s="1">
        <v>1</v>
      </c>
      <c r="K1827" s="1">
        <v>2</v>
      </c>
      <c r="L1827" s="1">
        <v>1</v>
      </c>
      <c r="M1827" s="1">
        <v>0</v>
      </c>
      <c r="N1827" s="1">
        <v>0</v>
      </c>
      <c r="O1827" s="1">
        <v>0</v>
      </c>
      <c r="P1827" s="1">
        <v>0</v>
      </c>
      <c r="Q1827" s="1">
        <v>1</v>
      </c>
      <c r="R1827" s="1">
        <v>0</v>
      </c>
      <c r="S1827" s="1">
        <v>0</v>
      </c>
      <c r="T1827" s="1">
        <v>0</v>
      </c>
      <c r="U1827" s="1">
        <v>0</v>
      </c>
      <c r="V1827" s="1">
        <v>0</v>
      </c>
    </row>
    <row r="1828" spans="1:22" x14ac:dyDescent="0.2">
      <c r="A1828" s="1" t="s">
        <v>1629</v>
      </c>
      <c r="B1828" s="1" t="s">
        <v>1835</v>
      </c>
      <c r="C1828" s="1">
        <v>0</v>
      </c>
      <c r="D1828" s="1">
        <v>0</v>
      </c>
      <c r="E1828" s="1">
        <v>0</v>
      </c>
      <c r="F1828" s="1">
        <v>0</v>
      </c>
      <c r="G1828" s="1">
        <v>0</v>
      </c>
      <c r="H1828" s="1">
        <v>0</v>
      </c>
      <c r="I1828" s="1">
        <v>0</v>
      </c>
      <c r="J1828" s="1">
        <v>0</v>
      </c>
      <c r="K1828" s="1">
        <v>0</v>
      </c>
      <c r="L1828" s="1">
        <v>1</v>
      </c>
      <c r="M1828" s="1">
        <v>0</v>
      </c>
      <c r="N1828" s="1">
        <v>0</v>
      </c>
      <c r="O1828" s="1">
        <v>0</v>
      </c>
      <c r="P1828" s="1">
        <v>0</v>
      </c>
      <c r="Q1828" s="1">
        <v>2</v>
      </c>
      <c r="R1828" s="1">
        <v>1</v>
      </c>
      <c r="S1828" s="1">
        <v>2</v>
      </c>
      <c r="T1828" s="1">
        <v>4</v>
      </c>
      <c r="U1828" s="1">
        <v>0</v>
      </c>
      <c r="V1828" s="1">
        <v>1</v>
      </c>
    </row>
    <row r="1829" spans="1:22" x14ac:dyDescent="0.2">
      <c r="A1829" s="1" t="s">
        <v>1629</v>
      </c>
      <c r="B1829" s="1" t="s">
        <v>1836</v>
      </c>
      <c r="C1829" s="1">
        <v>0</v>
      </c>
      <c r="D1829" s="1">
        <v>0</v>
      </c>
      <c r="E1829" s="1">
        <v>0</v>
      </c>
      <c r="F1829" s="1">
        <v>0</v>
      </c>
      <c r="G1829" s="1">
        <v>0</v>
      </c>
      <c r="H1829" s="1">
        <v>0</v>
      </c>
      <c r="I1829" s="1">
        <v>0</v>
      </c>
      <c r="J1829" s="1">
        <v>0</v>
      </c>
      <c r="K1829" s="1">
        <v>1</v>
      </c>
      <c r="L1829" s="1">
        <v>2</v>
      </c>
      <c r="M1829" s="1">
        <v>0</v>
      </c>
      <c r="N1829" s="1">
        <v>0</v>
      </c>
      <c r="O1829" s="1">
        <v>0</v>
      </c>
      <c r="P1829" s="1">
        <v>2</v>
      </c>
      <c r="Q1829" s="1">
        <v>0</v>
      </c>
      <c r="R1829" s="1">
        <v>1</v>
      </c>
      <c r="S1829" s="1">
        <v>0</v>
      </c>
      <c r="T1829" s="1">
        <v>0</v>
      </c>
      <c r="U1829" s="1">
        <v>0</v>
      </c>
      <c r="V1829" s="1">
        <v>0</v>
      </c>
    </row>
    <row r="1830" spans="1:22" x14ac:dyDescent="0.2">
      <c r="A1830" s="1" t="s">
        <v>1629</v>
      </c>
      <c r="B1830" s="1" t="s">
        <v>1837</v>
      </c>
      <c r="C1830" s="1">
        <v>0</v>
      </c>
      <c r="D1830" s="1">
        <v>0</v>
      </c>
      <c r="E1830" s="1">
        <v>0</v>
      </c>
      <c r="F1830" s="1">
        <v>0</v>
      </c>
      <c r="G1830" s="1">
        <v>0</v>
      </c>
      <c r="H1830" s="1">
        <v>0</v>
      </c>
      <c r="I1830" s="1">
        <v>0</v>
      </c>
      <c r="J1830" s="1">
        <v>0</v>
      </c>
      <c r="K1830" s="1">
        <v>0</v>
      </c>
      <c r="L1830" s="1">
        <v>1</v>
      </c>
      <c r="M1830" s="1">
        <v>0</v>
      </c>
      <c r="N1830" s="1">
        <v>0</v>
      </c>
      <c r="V1830" s="1">
        <v>0</v>
      </c>
    </row>
    <row r="1831" spans="1:22" x14ac:dyDescent="0.2">
      <c r="A1831" s="1" t="s">
        <v>1629</v>
      </c>
      <c r="B1831" s="1" t="s">
        <v>1838</v>
      </c>
      <c r="C1831" s="1">
        <v>0</v>
      </c>
      <c r="D1831" s="1">
        <v>0</v>
      </c>
      <c r="E1831" s="1">
        <v>0</v>
      </c>
      <c r="F1831" s="1">
        <v>0</v>
      </c>
      <c r="G1831" s="1">
        <v>0</v>
      </c>
      <c r="H1831" s="1">
        <v>0</v>
      </c>
      <c r="I1831" s="1">
        <v>0</v>
      </c>
      <c r="J1831" s="1">
        <v>0</v>
      </c>
      <c r="K1831" s="1">
        <v>0</v>
      </c>
      <c r="L1831" s="1">
        <v>0</v>
      </c>
      <c r="M1831" s="1">
        <v>0</v>
      </c>
      <c r="N1831" s="1">
        <v>0</v>
      </c>
      <c r="O1831" s="1">
        <v>0</v>
      </c>
      <c r="P1831" s="1">
        <v>0</v>
      </c>
      <c r="Q1831" s="1">
        <v>0</v>
      </c>
      <c r="R1831" s="1">
        <v>0</v>
      </c>
      <c r="S1831" s="1">
        <v>2</v>
      </c>
      <c r="T1831" s="1">
        <v>1</v>
      </c>
      <c r="U1831" s="1">
        <v>0</v>
      </c>
      <c r="V1831" s="1">
        <v>0</v>
      </c>
    </row>
    <row r="1832" spans="1:22" x14ac:dyDescent="0.2">
      <c r="A1832" s="1" t="s">
        <v>1629</v>
      </c>
      <c r="B1832" s="1" t="s">
        <v>1839</v>
      </c>
      <c r="C1832" s="1">
        <v>0</v>
      </c>
      <c r="D1832" s="1">
        <v>0</v>
      </c>
      <c r="E1832" s="1">
        <v>0</v>
      </c>
      <c r="F1832" s="1">
        <v>0</v>
      </c>
      <c r="G1832" s="1">
        <v>0</v>
      </c>
      <c r="H1832" s="1">
        <v>0</v>
      </c>
      <c r="I1832" s="1">
        <v>0</v>
      </c>
      <c r="J1832" s="1">
        <v>0</v>
      </c>
      <c r="K1832" s="1">
        <v>0</v>
      </c>
      <c r="L1832" s="1">
        <v>0</v>
      </c>
      <c r="M1832" s="1">
        <v>0</v>
      </c>
      <c r="N1832" s="1">
        <v>0</v>
      </c>
      <c r="O1832" s="1">
        <v>0</v>
      </c>
      <c r="P1832" s="1">
        <v>0</v>
      </c>
      <c r="Q1832" s="1">
        <v>0</v>
      </c>
      <c r="R1832" s="1">
        <v>2</v>
      </c>
      <c r="S1832" s="1">
        <v>1</v>
      </c>
      <c r="T1832" s="1">
        <v>2</v>
      </c>
      <c r="U1832" s="1">
        <v>3</v>
      </c>
      <c r="V1832" s="1">
        <v>4</v>
      </c>
    </row>
    <row r="1833" spans="1:22" x14ac:dyDescent="0.2">
      <c r="A1833" s="1" t="s">
        <v>1629</v>
      </c>
      <c r="B1833" s="1" t="s">
        <v>1840</v>
      </c>
      <c r="C1833" s="1">
        <v>0</v>
      </c>
      <c r="D1833" s="1">
        <v>0</v>
      </c>
      <c r="E1833" s="1">
        <v>0</v>
      </c>
      <c r="F1833" s="1">
        <v>0</v>
      </c>
      <c r="G1833" s="1">
        <v>0</v>
      </c>
      <c r="H1833" s="1">
        <v>0</v>
      </c>
      <c r="I1833" s="1">
        <v>0</v>
      </c>
      <c r="J1833" s="1">
        <v>0</v>
      </c>
      <c r="K1833" s="1">
        <v>0</v>
      </c>
      <c r="L1833" s="1">
        <v>0</v>
      </c>
      <c r="M1833" s="1">
        <v>0</v>
      </c>
      <c r="N1833" s="1">
        <v>0</v>
      </c>
      <c r="O1833" s="1">
        <v>3</v>
      </c>
      <c r="P1833" s="1">
        <v>0</v>
      </c>
      <c r="Q1833" s="1">
        <v>0</v>
      </c>
      <c r="R1833" s="1">
        <v>0</v>
      </c>
      <c r="S1833" s="1">
        <v>1</v>
      </c>
      <c r="T1833" s="1">
        <v>0</v>
      </c>
      <c r="U1833" s="1">
        <v>0</v>
      </c>
      <c r="V1833" s="1">
        <v>0</v>
      </c>
    </row>
    <row r="1834" spans="1:22" x14ac:dyDescent="0.2">
      <c r="A1834" s="1" t="s">
        <v>1629</v>
      </c>
      <c r="B1834" s="1" t="s">
        <v>1841</v>
      </c>
      <c r="C1834" s="1">
        <v>0</v>
      </c>
      <c r="D1834" s="1">
        <v>0</v>
      </c>
      <c r="E1834" s="1">
        <v>0</v>
      </c>
      <c r="F1834" s="1">
        <v>0</v>
      </c>
      <c r="G1834" s="1">
        <v>0</v>
      </c>
      <c r="H1834" s="1">
        <v>0</v>
      </c>
      <c r="I1834" s="1">
        <v>0</v>
      </c>
      <c r="J1834" s="1">
        <v>1</v>
      </c>
      <c r="K1834" s="1">
        <v>1</v>
      </c>
      <c r="L1834" s="1">
        <v>1</v>
      </c>
      <c r="M1834" s="1">
        <v>0</v>
      </c>
      <c r="N1834" s="1">
        <v>3</v>
      </c>
      <c r="O1834" s="1">
        <v>1</v>
      </c>
      <c r="P1834" s="1">
        <v>2</v>
      </c>
      <c r="Q1834" s="1">
        <v>2</v>
      </c>
      <c r="R1834" s="1">
        <v>0</v>
      </c>
      <c r="S1834" s="1">
        <v>0</v>
      </c>
      <c r="T1834" s="1">
        <v>0</v>
      </c>
      <c r="U1834" s="1">
        <v>0</v>
      </c>
      <c r="V1834" s="1">
        <v>0</v>
      </c>
    </row>
    <row r="1835" spans="1:22" x14ac:dyDescent="0.2">
      <c r="A1835" s="1" t="s">
        <v>1629</v>
      </c>
      <c r="B1835" s="1" t="s">
        <v>1842</v>
      </c>
      <c r="C1835" s="1">
        <f t="shared" ref="C1835:K1835" si="287">SUM(C1836:C1848)</f>
        <v>3679</v>
      </c>
      <c r="D1835" s="1">
        <f t="shared" si="287"/>
        <v>4849</v>
      </c>
      <c r="E1835" s="1">
        <f t="shared" si="287"/>
        <v>6093</v>
      </c>
      <c r="F1835" s="1">
        <f t="shared" si="287"/>
        <v>6324</v>
      </c>
      <c r="G1835" s="1">
        <f t="shared" si="287"/>
        <v>6983</v>
      </c>
      <c r="H1835" s="1">
        <f t="shared" si="287"/>
        <v>6695</v>
      </c>
      <c r="I1835" s="1">
        <f t="shared" si="287"/>
        <v>6317</v>
      </c>
      <c r="J1835" s="1">
        <f t="shared" si="287"/>
        <v>6531</v>
      </c>
      <c r="K1835" s="1">
        <f t="shared" si="287"/>
        <v>3645</v>
      </c>
      <c r="L1835" s="1">
        <f>SUM(L1836:L1848)</f>
        <v>4119</v>
      </c>
      <c r="M1835" s="1">
        <f>SUM(M1836:M1848)</f>
        <v>4296</v>
      </c>
      <c r="N1835" s="1">
        <f>SUM(N1836:N1848)</f>
        <v>4284</v>
      </c>
      <c r="O1835" s="1">
        <f t="shared" ref="O1835:V1835" si="288">SUM(O1836:O1848)</f>
        <v>4994</v>
      </c>
      <c r="P1835" s="1">
        <f t="shared" si="288"/>
        <v>4726</v>
      </c>
      <c r="Q1835" s="1">
        <f t="shared" si="288"/>
        <v>5268</v>
      </c>
      <c r="R1835" s="1">
        <f t="shared" si="288"/>
        <v>5175</v>
      </c>
      <c r="S1835" s="1">
        <f t="shared" si="288"/>
        <v>5406</v>
      </c>
      <c r="T1835" s="1">
        <f t="shared" si="288"/>
        <v>5768</v>
      </c>
      <c r="U1835" s="1">
        <f t="shared" si="288"/>
        <v>6124</v>
      </c>
      <c r="V1835" s="1">
        <f t="shared" si="288"/>
        <v>6413</v>
      </c>
    </row>
    <row r="1836" spans="1:22" x14ac:dyDescent="0.2">
      <c r="A1836" s="1" t="s">
        <v>1629</v>
      </c>
      <c r="B1836" s="1" t="s">
        <v>1843</v>
      </c>
      <c r="C1836" s="1">
        <v>0</v>
      </c>
      <c r="D1836" s="1">
        <v>0</v>
      </c>
      <c r="E1836" s="1">
        <v>0</v>
      </c>
      <c r="F1836" s="1">
        <v>0</v>
      </c>
      <c r="G1836" s="1">
        <v>0</v>
      </c>
      <c r="H1836" s="1">
        <v>0</v>
      </c>
      <c r="I1836" s="1">
        <v>0</v>
      </c>
      <c r="J1836" s="1">
        <v>0</v>
      </c>
      <c r="K1836" s="1">
        <v>170</v>
      </c>
      <c r="L1836" s="1">
        <v>229</v>
      </c>
      <c r="M1836" s="1">
        <v>277</v>
      </c>
      <c r="N1836" s="1">
        <v>426</v>
      </c>
      <c r="O1836" s="1">
        <v>548</v>
      </c>
      <c r="P1836" s="1">
        <v>472</v>
      </c>
      <c r="Q1836" s="1">
        <v>520</v>
      </c>
      <c r="R1836" s="1">
        <v>528</v>
      </c>
      <c r="S1836" s="1">
        <v>507</v>
      </c>
      <c r="T1836" s="1">
        <v>521</v>
      </c>
      <c r="U1836" s="1">
        <v>535</v>
      </c>
      <c r="V1836" s="1">
        <v>632</v>
      </c>
    </row>
    <row r="1837" spans="1:22" x14ac:dyDescent="0.2">
      <c r="A1837" s="1" t="s">
        <v>1629</v>
      </c>
      <c r="B1837" s="1" t="s">
        <v>1844</v>
      </c>
      <c r="C1837" s="1">
        <v>3</v>
      </c>
      <c r="D1837" s="1">
        <v>4</v>
      </c>
      <c r="E1837" s="1">
        <v>13</v>
      </c>
      <c r="F1837" s="1">
        <v>11</v>
      </c>
      <c r="G1837" s="1">
        <v>4</v>
      </c>
      <c r="H1837" s="1">
        <v>7</v>
      </c>
      <c r="I1837" s="1">
        <v>4</v>
      </c>
      <c r="J1837" s="1">
        <v>6</v>
      </c>
      <c r="K1837" s="1">
        <v>193</v>
      </c>
      <c r="L1837" s="1">
        <v>345</v>
      </c>
      <c r="M1837" s="1">
        <v>187</v>
      </c>
      <c r="N1837" s="1">
        <v>96</v>
      </c>
      <c r="O1837" s="1">
        <v>62</v>
      </c>
      <c r="P1837" s="1">
        <v>55</v>
      </c>
      <c r="Q1837" s="1">
        <v>48</v>
      </c>
      <c r="R1837" s="1">
        <v>34</v>
      </c>
      <c r="S1837" s="1">
        <v>26</v>
      </c>
      <c r="T1837" s="1">
        <v>20</v>
      </c>
      <c r="U1837" s="1">
        <v>15</v>
      </c>
      <c r="V1837" s="1">
        <v>8</v>
      </c>
    </row>
    <row r="1838" spans="1:22" x14ac:dyDescent="0.2">
      <c r="A1838" s="1" t="s">
        <v>1629</v>
      </c>
      <c r="B1838" s="1" t="s">
        <v>1845</v>
      </c>
      <c r="C1838" s="1">
        <v>2905</v>
      </c>
      <c r="D1838" s="1">
        <v>3923</v>
      </c>
      <c r="E1838" s="1">
        <v>4881</v>
      </c>
      <c r="F1838" s="1">
        <v>5077</v>
      </c>
      <c r="G1838" s="1">
        <v>5658</v>
      </c>
      <c r="H1838" s="1">
        <v>5599</v>
      </c>
      <c r="I1838" s="1">
        <v>5347</v>
      </c>
      <c r="J1838" s="1">
        <v>5478</v>
      </c>
      <c r="K1838" s="1">
        <v>2728</v>
      </c>
      <c r="L1838" s="1">
        <v>2589</v>
      </c>
      <c r="M1838" s="1">
        <v>2407</v>
      </c>
      <c r="N1838" s="1">
        <v>2281</v>
      </c>
      <c r="O1838" s="1">
        <v>3164</v>
      </c>
      <c r="P1838" s="1">
        <v>3020</v>
      </c>
      <c r="Q1838" s="1">
        <v>3396</v>
      </c>
      <c r="R1838" s="1">
        <v>3422</v>
      </c>
      <c r="S1838" s="1">
        <v>3652</v>
      </c>
      <c r="T1838" s="1">
        <v>3820</v>
      </c>
      <c r="U1838" s="1">
        <v>3945</v>
      </c>
      <c r="V1838" s="1">
        <v>4127</v>
      </c>
    </row>
    <row r="1839" spans="1:22" x14ac:dyDescent="0.2">
      <c r="A1839" s="1" t="s">
        <v>1629</v>
      </c>
      <c r="B1839" s="1" t="s">
        <v>1846</v>
      </c>
      <c r="C1839" s="1">
        <v>97</v>
      </c>
      <c r="D1839" s="1">
        <v>121</v>
      </c>
      <c r="E1839" s="1">
        <v>119</v>
      </c>
      <c r="F1839" s="1">
        <v>107</v>
      </c>
      <c r="G1839" s="1">
        <v>58</v>
      </c>
      <c r="H1839" s="1">
        <v>108</v>
      </c>
      <c r="I1839" s="1">
        <v>90</v>
      </c>
      <c r="J1839" s="1">
        <v>58</v>
      </c>
      <c r="K1839" s="1">
        <v>71</v>
      </c>
      <c r="L1839" s="1">
        <v>35</v>
      </c>
      <c r="M1839" s="1">
        <v>68</v>
      </c>
      <c r="N1839" s="1">
        <v>67</v>
      </c>
      <c r="O1839" s="1">
        <v>48</v>
      </c>
      <c r="P1839" s="1">
        <v>28</v>
      </c>
      <c r="Q1839" s="1">
        <v>38</v>
      </c>
      <c r="R1839" s="1">
        <v>73</v>
      </c>
      <c r="S1839" s="1">
        <v>44</v>
      </c>
      <c r="T1839" s="1">
        <v>57</v>
      </c>
      <c r="U1839" s="1">
        <v>38</v>
      </c>
      <c r="V1839" s="1">
        <v>90</v>
      </c>
    </row>
    <row r="1840" spans="1:22" x14ac:dyDescent="0.2">
      <c r="A1840" s="1" t="s">
        <v>1629</v>
      </c>
      <c r="B1840" s="1" t="s">
        <v>1847</v>
      </c>
      <c r="C1840" s="1">
        <v>0</v>
      </c>
      <c r="D1840" s="1">
        <v>0</v>
      </c>
      <c r="E1840" s="1">
        <v>2</v>
      </c>
      <c r="F1840" s="1">
        <v>0</v>
      </c>
      <c r="G1840" s="1">
        <v>0</v>
      </c>
      <c r="H1840" s="1">
        <v>0</v>
      </c>
      <c r="I1840" s="1">
        <v>0</v>
      </c>
      <c r="J1840" s="1">
        <v>0</v>
      </c>
      <c r="K1840" s="1">
        <v>0</v>
      </c>
      <c r="L1840" s="1">
        <v>1</v>
      </c>
      <c r="M1840" s="1">
        <v>2</v>
      </c>
      <c r="N1840" s="1">
        <v>1</v>
      </c>
      <c r="O1840" s="1">
        <v>2</v>
      </c>
      <c r="P1840" s="1">
        <v>0</v>
      </c>
      <c r="Q1840" s="1">
        <v>1</v>
      </c>
      <c r="R1840" s="1">
        <v>0</v>
      </c>
      <c r="S1840" s="1">
        <v>2</v>
      </c>
      <c r="T1840" s="1">
        <v>0</v>
      </c>
      <c r="U1840" s="1">
        <v>0</v>
      </c>
      <c r="V1840" s="1">
        <v>0</v>
      </c>
    </row>
    <row r="1841" spans="1:22" x14ac:dyDescent="0.2">
      <c r="A1841" s="1" t="s">
        <v>1629</v>
      </c>
      <c r="B1841" s="1" t="s">
        <v>1848</v>
      </c>
      <c r="C1841" s="1">
        <v>0</v>
      </c>
      <c r="D1841" s="1">
        <v>5</v>
      </c>
      <c r="E1841" s="1">
        <v>3</v>
      </c>
      <c r="F1841" s="1">
        <v>0</v>
      </c>
      <c r="G1841" s="1">
        <v>4</v>
      </c>
      <c r="H1841" s="1">
        <v>0</v>
      </c>
      <c r="I1841" s="1">
        <v>2</v>
      </c>
      <c r="J1841" s="1">
        <v>1</v>
      </c>
      <c r="K1841" s="1">
        <v>2</v>
      </c>
      <c r="L1841" s="1">
        <v>4</v>
      </c>
      <c r="M1841" s="1">
        <v>3</v>
      </c>
      <c r="N1841" s="1">
        <v>3</v>
      </c>
      <c r="O1841" s="1">
        <v>4</v>
      </c>
      <c r="P1841" s="1">
        <v>6</v>
      </c>
      <c r="Q1841" s="1">
        <v>2</v>
      </c>
      <c r="R1841" s="1">
        <v>1</v>
      </c>
      <c r="S1841" s="1">
        <v>4</v>
      </c>
      <c r="T1841" s="1">
        <v>2</v>
      </c>
      <c r="U1841" s="1">
        <v>2</v>
      </c>
      <c r="V1841" s="1">
        <v>1</v>
      </c>
    </row>
    <row r="1842" spans="1:22" x14ac:dyDescent="0.2">
      <c r="A1842" s="1" t="s">
        <v>1629</v>
      </c>
      <c r="B1842" s="1" t="s">
        <v>1849</v>
      </c>
      <c r="C1842" s="1">
        <v>40</v>
      </c>
      <c r="D1842" s="1">
        <v>50</v>
      </c>
      <c r="E1842" s="1">
        <v>34</v>
      </c>
      <c r="F1842" s="1">
        <v>43</v>
      </c>
      <c r="G1842" s="1">
        <v>45</v>
      </c>
      <c r="H1842" s="1">
        <v>48</v>
      </c>
      <c r="I1842" s="1">
        <v>39</v>
      </c>
      <c r="J1842" s="1">
        <v>36</v>
      </c>
      <c r="K1842" s="1">
        <v>28</v>
      </c>
      <c r="L1842" s="1">
        <v>40</v>
      </c>
      <c r="M1842" s="1">
        <v>32</v>
      </c>
      <c r="N1842" s="1">
        <v>26</v>
      </c>
      <c r="O1842" s="1">
        <v>31</v>
      </c>
      <c r="P1842" s="1">
        <v>33</v>
      </c>
      <c r="Q1842" s="1">
        <v>33</v>
      </c>
      <c r="R1842" s="1">
        <v>28</v>
      </c>
      <c r="S1842" s="1">
        <v>32</v>
      </c>
      <c r="T1842" s="1">
        <v>29</v>
      </c>
      <c r="U1842" s="1">
        <v>31</v>
      </c>
      <c r="V1842" s="1">
        <v>18</v>
      </c>
    </row>
    <row r="1843" spans="1:22" x14ac:dyDescent="0.2">
      <c r="A1843" s="1" t="s">
        <v>1629</v>
      </c>
      <c r="B1843" s="1" t="s">
        <v>1850</v>
      </c>
      <c r="C1843" s="1">
        <v>267</v>
      </c>
      <c r="D1843" s="1">
        <v>357</v>
      </c>
      <c r="E1843" s="1">
        <v>481</v>
      </c>
      <c r="F1843" s="1">
        <v>562</v>
      </c>
      <c r="G1843" s="1">
        <v>739</v>
      </c>
      <c r="H1843" s="1">
        <v>569</v>
      </c>
      <c r="I1843" s="1">
        <v>547</v>
      </c>
      <c r="J1843" s="1">
        <v>689</v>
      </c>
      <c r="K1843" s="1">
        <v>212</v>
      </c>
      <c r="L1843" s="1">
        <v>502</v>
      </c>
      <c r="M1843" s="1">
        <v>917</v>
      </c>
      <c r="N1843" s="1">
        <v>958</v>
      </c>
      <c r="O1843" s="1">
        <v>689</v>
      </c>
      <c r="P1843" s="1">
        <v>946</v>
      </c>
      <c r="Q1843" s="1">
        <v>1045</v>
      </c>
      <c r="R1843" s="1">
        <v>855</v>
      </c>
      <c r="S1843" s="1">
        <v>955</v>
      </c>
      <c r="T1843" s="1">
        <v>1048</v>
      </c>
      <c r="U1843" s="1">
        <v>1020</v>
      </c>
      <c r="V1843" s="1">
        <v>1078</v>
      </c>
    </row>
    <row r="1844" spans="1:22" x14ac:dyDescent="0.2">
      <c r="A1844" s="1" t="s">
        <v>1629</v>
      </c>
      <c r="B1844" s="1" t="s">
        <v>1851</v>
      </c>
      <c r="C1844" s="1">
        <v>209</v>
      </c>
      <c r="D1844" s="1">
        <v>205</v>
      </c>
      <c r="E1844" s="1">
        <v>345</v>
      </c>
      <c r="F1844" s="1">
        <v>247</v>
      </c>
      <c r="G1844" s="1">
        <v>198</v>
      </c>
      <c r="H1844" s="1">
        <v>180</v>
      </c>
      <c r="I1844" s="1">
        <v>148</v>
      </c>
      <c r="J1844" s="1">
        <v>125</v>
      </c>
      <c r="K1844" s="1">
        <v>109</v>
      </c>
      <c r="L1844" s="1">
        <v>178</v>
      </c>
      <c r="M1844" s="1">
        <v>255</v>
      </c>
      <c r="N1844" s="1">
        <v>282</v>
      </c>
      <c r="O1844" s="1">
        <v>341</v>
      </c>
      <c r="P1844" s="1">
        <v>68</v>
      </c>
      <c r="Q1844" s="1">
        <v>88</v>
      </c>
      <c r="R1844" s="1">
        <v>127</v>
      </c>
      <c r="S1844" s="1">
        <v>23</v>
      </c>
      <c r="T1844" s="1">
        <v>122</v>
      </c>
      <c r="U1844" s="1">
        <v>344</v>
      </c>
      <c r="V1844" s="1">
        <v>322</v>
      </c>
    </row>
    <row r="1845" spans="1:22" x14ac:dyDescent="0.2">
      <c r="A1845" s="1" t="s">
        <v>1629</v>
      </c>
      <c r="B1845" s="1" t="s">
        <v>1852</v>
      </c>
      <c r="C1845" s="1">
        <v>0</v>
      </c>
      <c r="D1845" s="1">
        <v>0</v>
      </c>
      <c r="E1845" s="1">
        <v>0</v>
      </c>
      <c r="F1845" s="1">
        <v>0</v>
      </c>
      <c r="G1845" s="1">
        <v>0</v>
      </c>
      <c r="H1845" s="1">
        <v>0</v>
      </c>
      <c r="I1845" s="1">
        <v>0</v>
      </c>
      <c r="J1845" s="1">
        <v>0</v>
      </c>
      <c r="K1845" s="1">
        <v>0</v>
      </c>
      <c r="L1845" s="1">
        <v>0</v>
      </c>
      <c r="M1845" s="1">
        <v>0</v>
      </c>
      <c r="N1845" s="1">
        <v>0</v>
      </c>
      <c r="O1845" s="1">
        <v>0</v>
      </c>
      <c r="P1845" s="1">
        <v>0</v>
      </c>
      <c r="Q1845" s="1">
        <v>3</v>
      </c>
      <c r="R1845" s="1">
        <v>7</v>
      </c>
      <c r="S1845" s="1">
        <v>14</v>
      </c>
      <c r="T1845" s="1">
        <v>48</v>
      </c>
      <c r="U1845" s="1">
        <v>84</v>
      </c>
      <c r="V1845" s="1">
        <v>41</v>
      </c>
    </row>
    <row r="1846" spans="1:22" x14ac:dyDescent="0.2">
      <c r="A1846" s="1" t="s">
        <v>1629</v>
      </c>
      <c r="B1846" s="1" t="s">
        <v>1853</v>
      </c>
      <c r="C1846" s="1">
        <v>21</v>
      </c>
      <c r="D1846" s="1">
        <v>21</v>
      </c>
      <c r="E1846" s="1">
        <v>66</v>
      </c>
      <c r="F1846" s="1">
        <v>25</v>
      </c>
      <c r="G1846" s="1">
        <v>16</v>
      </c>
      <c r="H1846" s="1">
        <v>12</v>
      </c>
      <c r="I1846" s="1">
        <v>17</v>
      </c>
      <c r="J1846" s="1">
        <v>15</v>
      </c>
      <c r="K1846" s="1">
        <v>20</v>
      </c>
      <c r="L1846" s="1">
        <v>19</v>
      </c>
      <c r="M1846" s="1">
        <v>18</v>
      </c>
      <c r="N1846" s="1">
        <v>14</v>
      </c>
      <c r="O1846" s="1">
        <v>17</v>
      </c>
      <c r="P1846" s="1">
        <v>16</v>
      </c>
      <c r="Q1846" s="1">
        <v>18</v>
      </c>
      <c r="R1846" s="1">
        <v>8</v>
      </c>
      <c r="S1846" s="1">
        <v>23</v>
      </c>
      <c r="T1846" s="1">
        <v>17</v>
      </c>
      <c r="U1846" s="1">
        <v>9</v>
      </c>
      <c r="V1846" s="1">
        <v>9</v>
      </c>
    </row>
    <row r="1847" spans="1:22" x14ac:dyDescent="0.2">
      <c r="A1847" s="1" t="s">
        <v>1629</v>
      </c>
      <c r="B1847" s="1" t="s">
        <v>1854</v>
      </c>
      <c r="C1847" s="1">
        <v>8</v>
      </c>
      <c r="D1847" s="1">
        <v>5</v>
      </c>
      <c r="E1847" s="1">
        <v>8</v>
      </c>
      <c r="F1847" s="1">
        <v>10</v>
      </c>
      <c r="G1847" s="1">
        <v>5</v>
      </c>
      <c r="H1847" s="1">
        <v>8</v>
      </c>
      <c r="I1847" s="1">
        <v>12</v>
      </c>
      <c r="J1847" s="1">
        <v>18</v>
      </c>
      <c r="K1847" s="1">
        <v>11</v>
      </c>
      <c r="L1847" s="1">
        <v>8</v>
      </c>
      <c r="M1847" s="1">
        <v>9</v>
      </c>
      <c r="N1847" s="1">
        <v>7</v>
      </c>
      <c r="O1847" s="1">
        <v>14</v>
      </c>
      <c r="P1847" s="1">
        <v>10</v>
      </c>
      <c r="Q1847" s="1">
        <v>9</v>
      </c>
      <c r="R1847" s="1">
        <v>12</v>
      </c>
      <c r="S1847" s="1">
        <v>5</v>
      </c>
      <c r="T1847" s="1">
        <v>5</v>
      </c>
      <c r="U1847" s="1">
        <v>11</v>
      </c>
      <c r="V1847" s="1">
        <v>10</v>
      </c>
    </row>
    <row r="1848" spans="1:22" x14ac:dyDescent="0.2">
      <c r="A1848" s="1" t="s">
        <v>1629</v>
      </c>
      <c r="B1848" s="1" t="s">
        <v>1855</v>
      </c>
      <c r="C1848" s="1">
        <v>129</v>
      </c>
      <c r="D1848" s="1">
        <v>158</v>
      </c>
      <c r="E1848" s="1">
        <v>141</v>
      </c>
      <c r="F1848" s="1">
        <v>242</v>
      </c>
      <c r="G1848" s="1">
        <v>256</v>
      </c>
      <c r="H1848" s="1">
        <v>164</v>
      </c>
      <c r="I1848" s="1">
        <v>111</v>
      </c>
      <c r="J1848" s="1">
        <v>105</v>
      </c>
      <c r="K1848" s="1">
        <v>101</v>
      </c>
      <c r="L1848" s="1">
        <v>169</v>
      </c>
      <c r="M1848" s="1">
        <v>121</v>
      </c>
      <c r="N1848" s="1">
        <v>123</v>
      </c>
      <c r="O1848" s="1">
        <v>74</v>
      </c>
      <c r="P1848" s="1">
        <v>72</v>
      </c>
      <c r="Q1848" s="1">
        <v>67</v>
      </c>
      <c r="R1848" s="1">
        <v>80</v>
      </c>
      <c r="S1848" s="1">
        <v>119</v>
      </c>
      <c r="T1848" s="1">
        <v>79</v>
      </c>
      <c r="U1848" s="1">
        <v>90</v>
      </c>
      <c r="V1848" s="1">
        <v>77</v>
      </c>
    </row>
    <row r="1849" spans="1:22" x14ac:dyDescent="0.2">
      <c r="A1849" s="1" t="s">
        <v>1629</v>
      </c>
      <c r="B1849" s="1" t="s">
        <v>1856</v>
      </c>
      <c r="C1849" s="1">
        <f t="shared" ref="C1849:K1849" si="289">SUM(C1850:C1866)</f>
        <v>1078</v>
      </c>
      <c r="D1849" s="1">
        <f t="shared" si="289"/>
        <v>1023</v>
      </c>
      <c r="E1849" s="1">
        <f t="shared" si="289"/>
        <v>1050</v>
      </c>
      <c r="F1849" s="1">
        <f t="shared" si="289"/>
        <v>1045</v>
      </c>
      <c r="G1849" s="1">
        <f t="shared" si="289"/>
        <v>1203</v>
      </c>
      <c r="H1849" s="1">
        <f t="shared" si="289"/>
        <v>1144</v>
      </c>
      <c r="I1849" s="1">
        <f t="shared" si="289"/>
        <v>966</v>
      </c>
      <c r="J1849" s="1">
        <f t="shared" si="289"/>
        <v>936</v>
      </c>
      <c r="K1849" s="1">
        <f t="shared" si="289"/>
        <v>1064</v>
      </c>
      <c r="L1849" s="1">
        <f>SUM(L1850:L1866)</f>
        <v>1402</v>
      </c>
      <c r="M1849" s="1">
        <f>SUM(M1850:M1866)</f>
        <v>1337</v>
      </c>
      <c r="N1849" s="1">
        <f>SUM(N1850:N1866)</f>
        <v>1710</v>
      </c>
      <c r="O1849" s="1">
        <f t="shared" ref="O1849:V1849" si="290">SUM(O1850:O1866)</f>
        <v>2815</v>
      </c>
      <c r="P1849" s="1">
        <f t="shared" si="290"/>
        <v>3281</v>
      </c>
      <c r="Q1849" s="1">
        <f t="shared" si="290"/>
        <v>3524</v>
      </c>
      <c r="R1849" s="1">
        <f t="shared" si="290"/>
        <v>3537</v>
      </c>
      <c r="S1849" s="1">
        <f t="shared" si="290"/>
        <v>3745</v>
      </c>
      <c r="T1849" s="1">
        <f t="shared" si="290"/>
        <v>3796</v>
      </c>
      <c r="U1849" s="1">
        <f t="shared" si="290"/>
        <v>3510</v>
      </c>
      <c r="V1849" s="1">
        <f t="shared" si="290"/>
        <v>3907</v>
      </c>
    </row>
    <row r="1850" spans="1:22" x14ac:dyDescent="0.2">
      <c r="A1850" s="1" t="s">
        <v>1629</v>
      </c>
      <c r="B1850" s="1" t="s">
        <v>1857</v>
      </c>
      <c r="C1850" s="1">
        <v>9</v>
      </c>
      <c r="D1850" s="1">
        <v>0</v>
      </c>
      <c r="E1850" s="1">
        <v>0</v>
      </c>
      <c r="F1850" s="1">
        <v>0</v>
      </c>
      <c r="G1850" s="1">
        <v>1</v>
      </c>
      <c r="H1850" s="1">
        <v>0</v>
      </c>
      <c r="I1850" s="1">
        <v>0</v>
      </c>
      <c r="J1850" s="1">
        <v>0</v>
      </c>
      <c r="K1850" s="1">
        <v>2</v>
      </c>
      <c r="L1850" s="1">
        <v>0</v>
      </c>
      <c r="M1850" s="1">
        <v>0</v>
      </c>
      <c r="N1850" s="1">
        <v>1</v>
      </c>
      <c r="O1850" s="1">
        <v>0</v>
      </c>
      <c r="P1850" s="1">
        <v>0</v>
      </c>
      <c r="Q1850" s="1">
        <v>0</v>
      </c>
      <c r="R1850" s="1">
        <v>1</v>
      </c>
      <c r="S1850" s="1">
        <v>0</v>
      </c>
      <c r="T1850" s="1">
        <v>0</v>
      </c>
      <c r="U1850" s="1">
        <v>0</v>
      </c>
      <c r="V1850" s="1">
        <v>3</v>
      </c>
    </row>
    <row r="1851" spans="1:22" x14ac:dyDescent="0.2">
      <c r="A1851" s="1" t="s">
        <v>1629</v>
      </c>
      <c r="B1851" s="1" t="s">
        <v>1858</v>
      </c>
      <c r="C1851" s="1">
        <v>85</v>
      </c>
      <c r="D1851" s="1">
        <v>120</v>
      </c>
      <c r="E1851" s="1">
        <v>109</v>
      </c>
      <c r="F1851" s="1">
        <v>88</v>
      </c>
      <c r="G1851" s="1">
        <v>101</v>
      </c>
      <c r="H1851" s="1">
        <v>109</v>
      </c>
      <c r="I1851" s="1">
        <v>82</v>
      </c>
      <c r="J1851" s="1">
        <v>77</v>
      </c>
      <c r="K1851" s="1">
        <v>57</v>
      </c>
      <c r="L1851" s="1">
        <v>73</v>
      </c>
      <c r="M1851" s="1">
        <v>60</v>
      </c>
      <c r="N1851" s="1">
        <v>79</v>
      </c>
      <c r="O1851" s="1">
        <v>85</v>
      </c>
      <c r="P1851" s="1">
        <v>75</v>
      </c>
      <c r="Q1851" s="1">
        <v>84</v>
      </c>
      <c r="R1851" s="1">
        <v>61</v>
      </c>
      <c r="S1851" s="1">
        <v>78</v>
      </c>
      <c r="T1851" s="1">
        <v>56</v>
      </c>
      <c r="U1851" s="1">
        <v>59</v>
      </c>
      <c r="V1851" s="1">
        <v>58</v>
      </c>
    </row>
    <row r="1852" spans="1:22" x14ac:dyDescent="0.2">
      <c r="A1852" s="1" t="s">
        <v>1629</v>
      </c>
      <c r="B1852" s="1" t="s">
        <v>1859</v>
      </c>
      <c r="C1852" s="1">
        <v>0</v>
      </c>
      <c r="D1852" s="1">
        <v>0</v>
      </c>
      <c r="E1852" s="1">
        <v>0</v>
      </c>
      <c r="F1852" s="1">
        <v>0</v>
      </c>
      <c r="G1852" s="1">
        <v>0</v>
      </c>
      <c r="H1852" s="1">
        <v>0</v>
      </c>
      <c r="I1852" s="1">
        <v>0</v>
      </c>
      <c r="J1852" s="1">
        <v>0</v>
      </c>
      <c r="K1852" s="1">
        <v>0</v>
      </c>
      <c r="L1852" s="1">
        <v>0</v>
      </c>
      <c r="M1852" s="1">
        <v>0</v>
      </c>
      <c r="N1852" s="1">
        <v>0</v>
      </c>
      <c r="O1852" s="1">
        <v>0</v>
      </c>
      <c r="P1852" s="1">
        <v>0</v>
      </c>
      <c r="Q1852" s="1">
        <v>0</v>
      </c>
      <c r="R1852" s="1">
        <v>0</v>
      </c>
      <c r="S1852" s="1">
        <v>0</v>
      </c>
      <c r="T1852" s="1">
        <v>2</v>
      </c>
      <c r="U1852" s="1">
        <v>230</v>
      </c>
      <c r="V1852" s="1">
        <v>0</v>
      </c>
    </row>
    <row r="1853" spans="1:22" x14ac:dyDescent="0.2">
      <c r="A1853" s="1" t="s">
        <v>1629</v>
      </c>
      <c r="B1853" s="1" t="s">
        <v>1860</v>
      </c>
      <c r="C1853" s="1">
        <v>219</v>
      </c>
      <c r="D1853" s="1">
        <v>236</v>
      </c>
      <c r="E1853" s="1">
        <v>219</v>
      </c>
      <c r="F1853" s="1">
        <v>222</v>
      </c>
      <c r="G1853" s="1">
        <v>208</v>
      </c>
      <c r="H1853" s="1">
        <v>183</v>
      </c>
      <c r="I1853" s="1">
        <v>107</v>
      </c>
      <c r="J1853" s="1">
        <v>77</v>
      </c>
      <c r="K1853" s="1">
        <v>61</v>
      </c>
      <c r="L1853" s="1">
        <v>78</v>
      </c>
      <c r="M1853" s="1">
        <v>58</v>
      </c>
      <c r="N1853" s="1">
        <v>29</v>
      </c>
      <c r="O1853" s="1">
        <v>42</v>
      </c>
      <c r="P1853" s="1">
        <v>29</v>
      </c>
      <c r="Q1853" s="1">
        <v>27</v>
      </c>
      <c r="R1853" s="1">
        <v>24</v>
      </c>
      <c r="S1853" s="1">
        <v>17</v>
      </c>
      <c r="T1853" s="1">
        <v>21</v>
      </c>
      <c r="U1853" s="1">
        <v>27</v>
      </c>
      <c r="V1853" s="1">
        <v>23</v>
      </c>
    </row>
    <row r="1854" spans="1:22" x14ac:dyDescent="0.2">
      <c r="A1854" s="1" t="s">
        <v>1629</v>
      </c>
      <c r="B1854" s="1" t="s">
        <v>1861</v>
      </c>
      <c r="C1854" s="1">
        <v>6</v>
      </c>
      <c r="D1854" s="1">
        <v>2</v>
      </c>
      <c r="E1854" s="1">
        <v>11</v>
      </c>
      <c r="F1854" s="1">
        <v>11</v>
      </c>
      <c r="G1854" s="1">
        <v>10</v>
      </c>
      <c r="H1854" s="1">
        <v>3</v>
      </c>
      <c r="I1854" s="1">
        <v>3</v>
      </c>
      <c r="J1854" s="1">
        <v>5</v>
      </c>
      <c r="K1854" s="1">
        <v>3</v>
      </c>
      <c r="L1854" s="1">
        <v>0</v>
      </c>
      <c r="M1854" s="1">
        <v>2</v>
      </c>
      <c r="N1854" s="1">
        <v>0</v>
      </c>
      <c r="O1854" s="1">
        <v>1</v>
      </c>
      <c r="P1854" s="1">
        <v>0</v>
      </c>
      <c r="Q1854" s="1">
        <v>1</v>
      </c>
      <c r="R1854" s="1">
        <v>0</v>
      </c>
      <c r="S1854" s="1">
        <v>0</v>
      </c>
      <c r="T1854" s="1">
        <v>0</v>
      </c>
      <c r="U1854" s="1">
        <v>0</v>
      </c>
      <c r="V1854" s="1">
        <v>0</v>
      </c>
    </row>
    <row r="1855" spans="1:22" x14ac:dyDescent="0.2">
      <c r="A1855" s="1" t="s">
        <v>1629</v>
      </c>
      <c r="B1855" s="1" t="s">
        <v>1862</v>
      </c>
      <c r="C1855" s="1">
        <v>0</v>
      </c>
      <c r="D1855" s="1">
        <v>0</v>
      </c>
      <c r="E1855" s="1">
        <v>0</v>
      </c>
      <c r="F1855" s="1">
        <v>0</v>
      </c>
      <c r="G1855" s="1">
        <v>0</v>
      </c>
      <c r="H1855" s="1">
        <v>0</v>
      </c>
      <c r="I1855" s="1">
        <v>0</v>
      </c>
      <c r="J1855" s="1">
        <v>1</v>
      </c>
      <c r="K1855" s="1">
        <v>2</v>
      </c>
      <c r="L1855" s="1">
        <v>0</v>
      </c>
      <c r="M1855" s="1">
        <v>3</v>
      </c>
      <c r="N1855" s="1">
        <v>0</v>
      </c>
      <c r="O1855" s="1">
        <v>2</v>
      </c>
      <c r="P1855" s="1">
        <v>1</v>
      </c>
      <c r="Q1855" s="1">
        <v>0</v>
      </c>
      <c r="R1855" s="1">
        <v>1</v>
      </c>
      <c r="S1855" s="1">
        <v>1</v>
      </c>
      <c r="T1855" s="1">
        <v>0</v>
      </c>
      <c r="U1855" s="1">
        <v>0</v>
      </c>
      <c r="V1855" s="1">
        <v>0</v>
      </c>
    </row>
    <row r="1856" spans="1:22" x14ac:dyDescent="0.2">
      <c r="A1856" s="1" t="s">
        <v>1629</v>
      </c>
      <c r="B1856" s="1" t="s">
        <v>1863</v>
      </c>
      <c r="C1856" s="1">
        <v>118</v>
      </c>
      <c r="D1856" s="1">
        <v>103</v>
      </c>
      <c r="E1856" s="1">
        <v>106</v>
      </c>
      <c r="F1856" s="1">
        <v>92</v>
      </c>
      <c r="G1856" s="1">
        <v>155</v>
      </c>
      <c r="H1856" s="1">
        <v>121</v>
      </c>
      <c r="I1856" s="1">
        <v>108</v>
      </c>
      <c r="J1856" s="1">
        <v>106</v>
      </c>
      <c r="K1856" s="1">
        <v>95</v>
      </c>
      <c r="L1856" s="1">
        <v>120</v>
      </c>
      <c r="M1856" s="1">
        <v>111</v>
      </c>
      <c r="N1856" s="1">
        <v>115</v>
      </c>
      <c r="O1856" s="1">
        <v>120</v>
      </c>
      <c r="P1856" s="1">
        <v>116</v>
      </c>
      <c r="Q1856" s="1">
        <v>136</v>
      </c>
      <c r="R1856" s="1">
        <v>130</v>
      </c>
      <c r="S1856" s="1">
        <v>122</v>
      </c>
      <c r="T1856" s="1">
        <v>154</v>
      </c>
      <c r="U1856" s="1">
        <v>113</v>
      </c>
      <c r="V1856" s="1">
        <v>133</v>
      </c>
    </row>
    <row r="1857" spans="1:22" x14ac:dyDescent="0.2">
      <c r="A1857" s="1" t="s">
        <v>1629</v>
      </c>
      <c r="B1857" s="1" t="s">
        <v>1864</v>
      </c>
      <c r="C1857" s="1">
        <v>0</v>
      </c>
      <c r="D1857" s="1">
        <v>3</v>
      </c>
      <c r="E1857" s="1">
        <v>5</v>
      </c>
      <c r="F1857" s="1">
        <v>1</v>
      </c>
      <c r="G1857" s="1">
        <v>3</v>
      </c>
      <c r="H1857" s="1">
        <v>0</v>
      </c>
      <c r="I1857" s="1">
        <v>1</v>
      </c>
      <c r="J1857" s="1">
        <v>0</v>
      </c>
      <c r="K1857" s="1">
        <v>0</v>
      </c>
      <c r="L1857" s="1">
        <v>2</v>
      </c>
      <c r="M1857" s="1">
        <v>1</v>
      </c>
      <c r="N1857" s="1">
        <v>4</v>
      </c>
      <c r="O1857" s="1">
        <v>1</v>
      </c>
      <c r="P1857" s="1">
        <v>0</v>
      </c>
      <c r="Q1857" s="1">
        <v>1</v>
      </c>
      <c r="R1857" s="1">
        <v>2</v>
      </c>
      <c r="S1857" s="1">
        <v>2</v>
      </c>
      <c r="T1857" s="1">
        <v>0</v>
      </c>
      <c r="U1857" s="1">
        <v>0</v>
      </c>
      <c r="V1857" s="1">
        <v>0</v>
      </c>
    </row>
    <row r="1858" spans="1:22" x14ac:dyDescent="0.2">
      <c r="A1858" s="1" t="s">
        <v>1629</v>
      </c>
      <c r="B1858" s="1" t="s">
        <v>1865</v>
      </c>
      <c r="C1858" s="1">
        <v>2</v>
      </c>
      <c r="D1858" s="1">
        <v>8</v>
      </c>
      <c r="E1858" s="1">
        <v>9</v>
      </c>
      <c r="F1858" s="1">
        <v>11</v>
      </c>
      <c r="G1858" s="1">
        <v>10</v>
      </c>
      <c r="H1858" s="1">
        <v>4</v>
      </c>
      <c r="I1858" s="1">
        <v>6</v>
      </c>
      <c r="J1858" s="1">
        <v>4</v>
      </c>
      <c r="K1858" s="1">
        <v>7</v>
      </c>
      <c r="L1858" s="1">
        <v>5</v>
      </c>
      <c r="M1858" s="1">
        <v>6</v>
      </c>
      <c r="N1858" s="1">
        <v>13</v>
      </c>
      <c r="O1858" s="1">
        <v>9</v>
      </c>
      <c r="P1858" s="1">
        <v>0</v>
      </c>
      <c r="Q1858" s="1">
        <v>9</v>
      </c>
      <c r="R1858" s="1">
        <v>8</v>
      </c>
      <c r="S1858" s="1">
        <v>14</v>
      </c>
      <c r="T1858" s="1">
        <v>11</v>
      </c>
      <c r="U1858" s="1">
        <v>6</v>
      </c>
      <c r="V1858" s="1">
        <v>7</v>
      </c>
    </row>
    <row r="1859" spans="1:22" x14ac:dyDescent="0.2">
      <c r="A1859" s="1" t="s">
        <v>1629</v>
      </c>
      <c r="B1859" s="1" t="s">
        <v>1866</v>
      </c>
      <c r="C1859" s="1">
        <v>17</v>
      </c>
      <c r="D1859" s="1">
        <v>19</v>
      </c>
      <c r="E1859" s="1">
        <v>11</v>
      </c>
      <c r="F1859" s="1">
        <v>19</v>
      </c>
      <c r="G1859" s="1">
        <v>7</v>
      </c>
      <c r="H1859" s="1">
        <v>13</v>
      </c>
      <c r="I1859" s="1">
        <v>9</v>
      </c>
      <c r="J1859" s="1">
        <v>7</v>
      </c>
      <c r="K1859" s="1">
        <v>11</v>
      </c>
      <c r="L1859" s="1">
        <v>11</v>
      </c>
      <c r="M1859" s="1">
        <v>7</v>
      </c>
      <c r="N1859" s="1">
        <v>9</v>
      </c>
      <c r="O1859" s="1">
        <v>14</v>
      </c>
      <c r="P1859" s="1">
        <v>17</v>
      </c>
      <c r="Q1859" s="1">
        <v>13</v>
      </c>
      <c r="R1859" s="1">
        <v>12</v>
      </c>
      <c r="S1859" s="1">
        <v>17</v>
      </c>
      <c r="T1859" s="1">
        <v>7</v>
      </c>
      <c r="U1859" s="1">
        <v>10</v>
      </c>
      <c r="V1859" s="1">
        <v>8</v>
      </c>
    </row>
    <row r="1860" spans="1:22" x14ac:dyDescent="0.2">
      <c r="A1860" s="1" t="s">
        <v>1629</v>
      </c>
      <c r="B1860" s="1" t="s">
        <v>1867</v>
      </c>
      <c r="C1860" s="1">
        <v>5</v>
      </c>
      <c r="D1860" s="1">
        <v>3</v>
      </c>
      <c r="E1860" s="1">
        <v>13</v>
      </c>
      <c r="F1860" s="1">
        <v>1</v>
      </c>
      <c r="G1860" s="1">
        <v>5</v>
      </c>
      <c r="H1860" s="1">
        <v>3</v>
      </c>
      <c r="I1860" s="1">
        <v>3</v>
      </c>
      <c r="J1860" s="1">
        <v>3</v>
      </c>
      <c r="K1860" s="1">
        <v>2</v>
      </c>
      <c r="L1860" s="1">
        <v>1</v>
      </c>
      <c r="M1860" s="1">
        <v>0</v>
      </c>
      <c r="N1860" s="1">
        <v>4</v>
      </c>
      <c r="O1860" s="1">
        <v>1</v>
      </c>
      <c r="P1860" s="1">
        <v>3</v>
      </c>
      <c r="Q1860" s="1">
        <v>4</v>
      </c>
      <c r="R1860" s="1">
        <v>3</v>
      </c>
      <c r="S1860" s="1">
        <v>0</v>
      </c>
      <c r="T1860" s="1">
        <v>1</v>
      </c>
      <c r="U1860" s="1">
        <v>1</v>
      </c>
      <c r="V1860" s="1">
        <v>0</v>
      </c>
    </row>
    <row r="1861" spans="1:22" x14ac:dyDescent="0.2">
      <c r="A1861" s="1" t="s">
        <v>1629</v>
      </c>
      <c r="B1861" s="1" t="s">
        <v>1868</v>
      </c>
      <c r="C1861" s="1">
        <v>0</v>
      </c>
      <c r="D1861" s="1">
        <v>3</v>
      </c>
      <c r="E1861" s="1">
        <v>2</v>
      </c>
      <c r="F1861" s="1">
        <v>1</v>
      </c>
      <c r="G1861" s="1">
        <v>1</v>
      </c>
      <c r="H1861" s="1">
        <v>0</v>
      </c>
      <c r="I1861" s="1">
        <v>1</v>
      </c>
      <c r="J1861" s="1">
        <v>0</v>
      </c>
      <c r="K1861" s="1">
        <v>0</v>
      </c>
      <c r="L1861" s="1">
        <v>0</v>
      </c>
      <c r="M1861" s="1">
        <v>0</v>
      </c>
      <c r="N1861" s="1">
        <v>0</v>
      </c>
      <c r="O1861" s="1">
        <v>0</v>
      </c>
      <c r="P1861" s="1">
        <v>0</v>
      </c>
      <c r="Q1861" s="1">
        <v>3</v>
      </c>
      <c r="R1861" s="1">
        <v>1</v>
      </c>
      <c r="S1861" s="1">
        <v>2</v>
      </c>
      <c r="T1861" s="1">
        <v>2</v>
      </c>
      <c r="U1861" s="1">
        <v>0</v>
      </c>
      <c r="V1861" s="1">
        <v>0</v>
      </c>
    </row>
    <row r="1862" spans="1:22" x14ac:dyDescent="0.2">
      <c r="A1862" s="1" t="s">
        <v>1629</v>
      </c>
      <c r="B1862" s="1" t="s">
        <v>1869</v>
      </c>
      <c r="C1862" s="1">
        <v>564</v>
      </c>
      <c r="D1862" s="1">
        <v>488</v>
      </c>
      <c r="E1862" s="1">
        <v>500</v>
      </c>
      <c r="F1862" s="1">
        <v>518</v>
      </c>
      <c r="G1862" s="1">
        <v>627</v>
      </c>
      <c r="H1862" s="1">
        <v>649</v>
      </c>
      <c r="I1862" s="1">
        <v>591</v>
      </c>
      <c r="J1862" s="1">
        <v>603</v>
      </c>
      <c r="K1862" s="1">
        <v>776</v>
      </c>
      <c r="L1862" s="1">
        <v>1052</v>
      </c>
      <c r="M1862" s="1">
        <v>951</v>
      </c>
      <c r="N1862" s="1">
        <v>1238</v>
      </c>
      <c r="O1862" s="1">
        <v>2243</v>
      </c>
      <c r="P1862" s="1">
        <v>2643</v>
      </c>
      <c r="Q1862" s="1">
        <v>2779</v>
      </c>
      <c r="R1862" s="1">
        <v>2790</v>
      </c>
      <c r="S1862" s="1">
        <v>2932</v>
      </c>
      <c r="T1862" s="1">
        <v>2950</v>
      </c>
      <c r="U1862" s="1">
        <v>2625</v>
      </c>
      <c r="V1862" s="1">
        <v>3089</v>
      </c>
    </row>
    <row r="1863" spans="1:22" x14ac:dyDescent="0.2">
      <c r="A1863" s="1" t="s">
        <v>1629</v>
      </c>
      <c r="B1863" s="1" t="s">
        <v>1870</v>
      </c>
      <c r="C1863" s="1">
        <v>0</v>
      </c>
      <c r="D1863" s="1">
        <v>0</v>
      </c>
      <c r="E1863" s="1">
        <v>0</v>
      </c>
      <c r="F1863" s="1">
        <v>0</v>
      </c>
      <c r="G1863" s="1">
        <v>0</v>
      </c>
      <c r="H1863" s="1">
        <v>0</v>
      </c>
      <c r="I1863" s="1">
        <v>0</v>
      </c>
      <c r="J1863" s="1">
        <v>0</v>
      </c>
      <c r="K1863" s="1">
        <v>0</v>
      </c>
      <c r="L1863" s="1">
        <v>0</v>
      </c>
      <c r="M1863" s="1">
        <v>49</v>
      </c>
      <c r="N1863" s="1">
        <v>85</v>
      </c>
      <c r="O1863" s="1">
        <v>77</v>
      </c>
      <c r="P1863" s="1">
        <v>81</v>
      </c>
      <c r="Q1863" s="1">
        <v>95</v>
      </c>
      <c r="R1863" s="1">
        <v>83</v>
      </c>
      <c r="S1863" s="1">
        <v>89</v>
      </c>
      <c r="T1863" s="1">
        <v>158</v>
      </c>
      <c r="U1863" s="1">
        <v>55</v>
      </c>
      <c r="V1863" s="1">
        <v>131</v>
      </c>
    </row>
    <row r="1864" spans="1:22" x14ac:dyDescent="0.2">
      <c r="A1864" s="1" t="s">
        <v>1629</v>
      </c>
      <c r="B1864" s="1" t="s">
        <v>1871</v>
      </c>
      <c r="C1864" s="1">
        <v>51</v>
      </c>
      <c r="D1864" s="1">
        <v>34</v>
      </c>
      <c r="E1864" s="1">
        <v>52</v>
      </c>
      <c r="F1864" s="1">
        <v>66</v>
      </c>
      <c r="G1864" s="1">
        <v>69</v>
      </c>
      <c r="H1864" s="1">
        <v>57</v>
      </c>
      <c r="I1864" s="1">
        <v>55</v>
      </c>
      <c r="J1864" s="1">
        <v>48</v>
      </c>
      <c r="K1864" s="1">
        <v>43</v>
      </c>
      <c r="L1864" s="1">
        <v>54</v>
      </c>
      <c r="M1864" s="1">
        <v>84</v>
      </c>
      <c r="N1864" s="1">
        <v>123</v>
      </c>
      <c r="O1864" s="1">
        <v>215</v>
      </c>
      <c r="P1864" s="1">
        <v>311</v>
      </c>
      <c r="Q1864" s="1">
        <v>364</v>
      </c>
      <c r="R1864" s="1">
        <v>419</v>
      </c>
      <c r="S1864" s="1">
        <v>468</v>
      </c>
      <c r="T1864" s="1">
        <v>430</v>
      </c>
      <c r="U1864" s="1">
        <v>383</v>
      </c>
      <c r="V1864" s="1">
        <v>453</v>
      </c>
    </row>
    <row r="1865" spans="1:22" x14ac:dyDescent="0.2">
      <c r="A1865" s="1" t="s">
        <v>1629</v>
      </c>
      <c r="B1865" s="1" t="s">
        <v>1872</v>
      </c>
      <c r="C1865" s="1">
        <v>2</v>
      </c>
      <c r="D1865" s="1">
        <v>4</v>
      </c>
      <c r="E1865" s="1">
        <v>5</v>
      </c>
      <c r="F1865" s="1">
        <v>15</v>
      </c>
      <c r="G1865" s="1">
        <v>6</v>
      </c>
      <c r="H1865" s="1">
        <v>2</v>
      </c>
      <c r="I1865" s="1">
        <v>0</v>
      </c>
      <c r="J1865" s="1">
        <v>5</v>
      </c>
      <c r="K1865" s="1">
        <v>5</v>
      </c>
      <c r="L1865" s="1">
        <v>6</v>
      </c>
      <c r="M1865" s="1">
        <v>5</v>
      </c>
      <c r="N1865" s="1">
        <v>9</v>
      </c>
      <c r="O1865" s="1">
        <v>5</v>
      </c>
      <c r="P1865" s="1">
        <v>5</v>
      </c>
      <c r="Q1865" s="1">
        <v>8</v>
      </c>
      <c r="R1865" s="1">
        <v>2</v>
      </c>
      <c r="S1865" s="1">
        <v>3</v>
      </c>
      <c r="T1865" s="1">
        <v>4</v>
      </c>
      <c r="U1865" s="1">
        <v>1</v>
      </c>
      <c r="V1865" s="1">
        <v>2</v>
      </c>
    </row>
    <row r="1866" spans="1:22" x14ac:dyDescent="0.2">
      <c r="A1866" s="1" t="s">
        <v>1629</v>
      </c>
      <c r="B1866" s="1" t="s">
        <v>1873</v>
      </c>
      <c r="C1866" s="1">
        <v>0</v>
      </c>
      <c r="D1866" s="1">
        <v>0</v>
      </c>
      <c r="E1866" s="1">
        <v>8</v>
      </c>
      <c r="F1866" s="1">
        <v>0</v>
      </c>
      <c r="G1866" s="1">
        <v>0</v>
      </c>
      <c r="H1866" s="1">
        <v>0</v>
      </c>
      <c r="I1866" s="1">
        <v>0</v>
      </c>
      <c r="J1866" s="1">
        <v>0</v>
      </c>
      <c r="K1866" s="1">
        <v>0</v>
      </c>
      <c r="L1866" s="1">
        <v>0</v>
      </c>
      <c r="M1866" s="1">
        <v>0</v>
      </c>
      <c r="N1866" s="1">
        <v>1</v>
      </c>
      <c r="V1866" s="1">
        <v>0</v>
      </c>
    </row>
    <row r="1867" spans="1:22" x14ac:dyDescent="0.2">
      <c r="A1867" s="1" t="s">
        <v>1629</v>
      </c>
      <c r="B1867" s="1" t="s">
        <v>1874</v>
      </c>
      <c r="C1867" s="1">
        <f t="shared" ref="C1867:K1867" si="291">SUM(C1868:C1894)</f>
        <v>1640</v>
      </c>
      <c r="D1867" s="1">
        <f t="shared" si="291"/>
        <v>1604</v>
      </c>
      <c r="E1867" s="1">
        <f t="shared" si="291"/>
        <v>1609</v>
      </c>
      <c r="F1867" s="1">
        <f t="shared" si="291"/>
        <v>1680</v>
      </c>
      <c r="G1867" s="1">
        <f t="shared" si="291"/>
        <v>1766</v>
      </c>
      <c r="H1867" s="1">
        <f t="shared" si="291"/>
        <v>1620</v>
      </c>
      <c r="I1867" s="1">
        <f t="shared" si="291"/>
        <v>1472</v>
      </c>
      <c r="J1867" s="1">
        <f t="shared" si="291"/>
        <v>1393</v>
      </c>
      <c r="K1867" s="1">
        <f t="shared" si="291"/>
        <v>1742</v>
      </c>
      <c r="L1867" s="1">
        <f>SUM(L1868:L1894)</f>
        <v>2195</v>
      </c>
      <c r="M1867" s="1">
        <f>SUM(M1868:M1894)</f>
        <v>2314</v>
      </c>
      <c r="N1867" s="1">
        <f>SUM(N1868:N1894)</f>
        <v>3076</v>
      </c>
      <c r="O1867" s="1">
        <f t="shared" ref="O1867:V1867" si="292">SUM(O1868:O1894)</f>
        <v>3033</v>
      </c>
      <c r="P1867" s="1">
        <f t="shared" si="292"/>
        <v>3403</v>
      </c>
      <c r="Q1867" s="1">
        <f t="shared" si="292"/>
        <v>2113</v>
      </c>
      <c r="R1867" s="1">
        <f t="shared" si="292"/>
        <v>2376</v>
      </c>
      <c r="S1867" s="1">
        <f t="shared" si="292"/>
        <v>2505</v>
      </c>
      <c r="T1867" s="1">
        <f t="shared" si="292"/>
        <v>2705</v>
      </c>
      <c r="U1867" s="1">
        <f t="shared" si="292"/>
        <v>2629</v>
      </c>
      <c r="V1867" s="1">
        <f t="shared" si="292"/>
        <v>3119</v>
      </c>
    </row>
    <row r="1868" spans="1:22" x14ac:dyDescent="0.2">
      <c r="A1868" s="1" t="s">
        <v>1629</v>
      </c>
      <c r="B1868" s="1" t="s">
        <v>1875</v>
      </c>
      <c r="C1868" s="1">
        <v>3</v>
      </c>
      <c r="D1868" s="1">
        <v>2</v>
      </c>
      <c r="E1868" s="1">
        <v>2</v>
      </c>
      <c r="F1868" s="1">
        <v>1</v>
      </c>
      <c r="G1868" s="1">
        <v>2</v>
      </c>
      <c r="H1868" s="1">
        <v>1</v>
      </c>
      <c r="I1868" s="1">
        <v>0</v>
      </c>
      <c r="J1868" s="1">
        <v>0</v>
      </c>
      <c r="K1868" s="1">
        <v>0</v>
      </c>
      <c r="L1868" s="1">
        <v>0</v>
      </c>
      <c r="M1868" s="1">
        <v>0</v>
      </c>
      <c r="N1868" s="1">
        <v>0</v>
      </c>
      <c r="V1868" s="1">
        <v>0</v>
      </c>
    </row>
    <row r="1869" spans="1:22" x14ac:dyDescent="0.2">
      <c r="A1869" s="1" t="s">
        <v>1629</v>
      </c>
      <c r="B1869" s="1" t="s">
        <v>1876</v>
      </c>
      <c r="C1869" s="1">
        <v>1036</v>
      </c>
      <c r="D1869" s="1">
        <v>1067</v>
      </c>
      <c r="E1869" s="1">
        <v>1087</v>
      </c>
      <c r="F1869" s="1">
        <v>1163</v>
      </c>
      <c r="G1869" s="1">
        <v>1177</v>
      </c>
      <c r="H1869" s="1">
        <v>1043</v>
      </c>
      <c r="I1869" s="1">
        <v>950</v>
      </c>
      <c r="J1869" s="1">
        <v>914</v>
      </c>
      <c r="K1869" s="1">
        <v>1196</v>
      </c>
      <c r="L1869" s="1">
        <v>1663</v>
      </c>
      <c r="M1869" s="1">
        <v>1570</v>
      </c>
      <c r="N1869" s="1">
        <v>2182</v>
      </c>
      <c r="O1869" s="1">
        <v>2061</v>
      </c>
      <c r="P1869" s="1">
        <v>2365</v>
      </c>
      <c r="Q1869" s="1">
        <v>1610</v>
      </c>
      <c r="R1869" s="1">
        <v>1715</v>
      </c>
      <c r="S1869" s="1">
        <v>1914</v>
      </c>
      <c r="T1869" s="1">
        <v>1872</v>
      </c>
      <c r="U1869" s="1">
        <v>2015</v>
      </c>
      <c r="V1869" s="1">
        <v>2193</v>
      </c>
    </row>
    <row r="1870" spans="1:22" x14ac:dyDescent="0.2">
      <c r="A1870" s="1" t="s">
        <v>1629</v>
      </c>
      <c r="B1870" s="1" t="s">
        <v>1877</v>
      </c>
      <c r="C1870" s="1">
        <v>0</v>
      </c>
      <c r="D1870" s="1">
        <v>4</v>
      </c>
      <c r="E1870" s="1">
        <v>1</v>
      </c>
      <c r="F1870" s="1">
        <v>3</v>
      </c>
      <c r="G1870" s="1">
        <v>1</v>
      </c>
      <c r="H1870" s="1">
        <v>0</v>
      </c>
      <c r="I1870" s="1">
        <v>0</v>
      </c>
      <c r="J1870" s="1">
        <v>0</v>
      </c>
      <c r="K1870" s="1">
        <v>1</v>
      </c>
      <c r="L1870" s="1">
        <v>1</v>
      </c>
      <c r="M1870" s="1">
        <v>0</v>
      </c>
      <c r="N1870" s="1">
        <v>14</v>
      </c>
      <c r="O1870" s="1">
        <v>1</v>
      </c>
      <c r="P1870" s="1">
        <v>2</v>
      </c>
      <c r="Q1870" s="1">
        <v>1</v>
      </c>
      <c r="R1870" s="1">
        <v>2</v>
      </c>
      <c r="S1870" s="1">
        <v>1</v>
      </c>
      <c r="T1870" s="1">
        <v>0</v>
      </c>
      <c r="U1870" s="1">
        <v>0</v>
      </c>
      <c r="V1870" s="1">
        <v>0</v>
      </c>
    </row>
    <row r="1871" spans="1:22" x14ac:dyDescent="0.2">
      <c r="A1871" s="1" t="s">
        <v>1629</v>
      </c>
      <c r="B1871" s="1" t="s">
        <v>1878</v>
      </c>
      <c r="C1871" s="1">
        <v>0</v>
      </c>
      <c r="D1871" s="1">
        <v>0</v>
      </c>
      <c r="E1871" s="1">
        <v>0</v>
      </c>
      <c r="F1871" s="1">
        <v>0</v>
      </c>
      <c r="G1871" s="1">
        <v>0</v>
      </c>
      <c r="H1871" s="1">
        <v>0</v>
      </c>
      <c r="I1871" s="1">
        <v>3</v>
      </c>
      <c r="J1871" s="1">
        <v>5</v>
      </c>
      <c r="K1871" s="1">
        <v>9</v>
      </c>
      <c r="L1871" s="1">
        <v>3</v>
      </c>
      <c r="M1871" s="1">
        <v>22</v>
      </c>
      <c r="N1871" s="1">
        <v>26</v>
      </c>
      <c r="O1871" s="1">
        <v>14</v>
      </c>
      <c r="P1871" s="1">
        <v>4</v>
      </c>
      <c r="Q1871" s="1">
        <v>6</v>
      </c>
      <c r="R1871" s="1">
        <v>3</v>
      </c>
      <c r="S1871" s="1">
        <v>7</v>
      </c>
      <c r="T1871" s="1">
        <v>8</v>
      </c>
      <c r="U1871" s="1">
        <v>7</v>
      </c>
      <c r="V1871" s="1">
        <v>13</v>
      </c>
    </row>
    <row r="1872" spans="1:22" x14ac:dyDescent="0.2">
      <c r="A1872" s="1" t="s">
        <v>1629</v>
      </c>
      <c r="B1872" s="1" t="s">
        <v>1879</v>
      </c>
      <c r="C1872" s="1">
        <v>67</v>
      </c>
      <c r="D1872" s="1">
        <v>82</v>
      </c>
      <c r="E1872" s="1">
        <v>44</v>
      </c>
      <c r="F1872" s="1">
        <v>34</v>
      </c>
      <c r="G1872" s="1">
        <v>56</v>
      </c>
      <c r="H1872" s="1">
        <v>36</v>
      </c>
      <c r="I1872" s="1">
        <v>48</v>
      </c>
      <c r="J1872" s="1">
        <v>32</v>
      </c>
      <c r="K1872" s="1">
        <v>32</v>
      </c>
      <c r="L1872" s="1">
        <v>31</v>
      </c>
      <c r="M1872" s="1">
        <v>30</v>
      </c>
      <c r="N1872" s="1">
        <v>37</v>
      </c>
      <c r="O1872" s="1">
        <v>29</v>
      </c>
      <c r="P1872" s="1">
        <v>33</v>
      </c>
      <c r="Q1872" s="1">
        <v>16</v>
      </c>
      <c r="R1872" s="1">
        <v>18</v>
      </c>
      <c r="S1872" s="1">
        <v>18</v>
      </c>
      <c r="T1872" s="1">
        <v>15</v>
      </c>
      <c r="U1872" s="1">
        <v>13</v>
      </c>
      <c r="V1872" s="1">
        <v>22</v>
      </c>
    </row>
    <row r="1873" spans="1:22" x14ac:dyDescent="0.2">
      <c r="A1873" s="1" t="s">
        <v>1629</v>
      </c>
      <c r="B1873" s="1" t="s">
        <v>1880</v>
      </c>
      <c r="C1873" s="1">
        <v>35</v>
      </c>
      <c r="D1873" s="1">
        <v>48</v>
      </c>
      <c r="E1873" s="1">
        <v>33</v>
      </c>
      <c r="F1873" s="1">
        <v>42</v>
      </c>
      <c r="G1873" s="1">
        <v>70</v>
      </c>
      <c r="H1873" s="1">
        <v>61</v>
      </c>
      <c r="I1873" s="1">
        <v>48</v>
      </c>
      <c r="J1873" s="1">
        <v>55</v>
      </c>
      <c r="K1873" s="1">
        <v>35</v>
      </c>
      <c r="L1873" s="1">
        <v>86</v>
      </c>
      <c r="M1873" s="1">
        <v>111</v>
      </c>
      <c r="N1873" s="1">
        <v>155</v>
      </c>
      <c r="O1873" s="1">
        <v>145</v>
      </c>
      <c r="P1873" s="1">
        <v>116</v>
      </c>
      <c r="Q1873" s="1">
        <v>38</v>
      </c>
      <c r="R1873" s="1">
        <v>47</v>
      </c>
      <c r="S1873" s="1">
        <v>45</v>
      </c>
      <c r="T1873" s="1">
        <v>39</v>
      </c>
      <c r="U1873" s="1">
        <v>53</v>
      </c>
      <c r="V1873" s="1">
        <v>47</v>
      </c>
    </row>
    <row r="1874" spans="1:22" x14ac:dyDescent="0.2">
      <c r="A1874" s="1" t="s">
        <v>1629</v>
      </c>
      <c r="B1874" s="1" t="s">
        <v>1881</v>
      </c>
      <c r="C1874" s="1">
        <v>0</v>
      </c>
      <c r="D1874" s="1">
        <v>0</v>
      </c>
      <c r="E1874" s="1">
        <v>0</v>
      </c>
      <c r="F1874" s="1">
        <v>1</v>
      </c>
      <c r="G1874" s="1">
        <v>10</v>
      </c>
      <c r="H1874" s="1">
        <v>14</v>
      </c>
      <c r="I1874" s="1">
        <v>16</v>
      </c>
      <c r="J1874" s="1">
        <v>39</v>
      </c>
      <c r="K1874" s="1">
        <v>82</v>
      </c>
      <c r="L1874" s="1">
        <v>74</v>
      </c>
      <c r="M1874" s="1">
        <v>86</v>
      </c>
      <c r="N1874" s="1">
        <v>88</v>
      </c>
      <c r="O1874" s="1">
        <v>135</v>
      </c>
      <c r="P1874" s="1">
        <v>168</v>
      </c>
      <c r="Q1874" s="1">
        <v>118</v>
      </c>
      <c r="R1874" s="1">
        <v>120</v>
      </c>
      <c r="S1874" s="1">
        <v>143</v>
      </c>
      <c r="T1874" s="1">
        <v>177</v>
      </c>
      <c r="U1874" s="1">
        <v>37</v>
      </c>
      <c r="V1874" s="1">
        <v>8</v>
      </c>
    </row>
    <row r="1875" spans="1:22" x14ac:dyDescent="0.2">
      <c r="A1875" s="1" t="s">
        <v>1629</v>
      </c>
      <c r="B1875" s="1" t="s">
        <v>1882</v>
      </c>
      <c r="C1875" s="1">
        <v>0</v>
      </c>
      <c r="D1875" s="1">
        <v>0</v>
      </c>
      <c r="E1875" s="1">
        <v>0</v>
      </c>
      <c r="F1875" s="1">
        <v>0</v>
      </c>
      <c r="G1875" s="1">
        <v>0</v>
      </c>
      <c r="H1875" s="1">
        <v>1</v>
      </c>
      <c r="I1875" s="1">
        <v>0</v>
      </c>
      <c r="J1875" s="1">
        <v>0</v>
      </c>
      <c r="K1875" s="1">
        <v>0</v>
      </c>
      <c r="L1875" s="1">
        <v>2</v>
      </c>
      <c r="M1875" s="1">
        <v>3</v>
      </c>
      <c r="N1875" s="1">
        <v>2</v>
      </c>
      <c r="O1875" s="1">
        <v>1</v>
      </c>
      <c r="P1875" s="1">
        <v>2</v>
      </c>
      <c r="Q1875" s="1">
        <v>0</v>
      </c>
      <c r="R1875" s="1">
        <v>0</v>
      </c>
      <c r="S1875" s="1">
        <v>2</v>
      </c>
      <c r="T1875" s="1">
        <v>2</v>
      </c>
      <c r="U1875" s="1">
        <v>0</v>
      </c>
      <c r="V1875" s="1">
        <v>0</v>
      </c>
    </row>
    <row r="1876" spans="1:22" x14ac:dyDescent="0.2">
      <c r="A1876" s="1" t="s">
        <v>1629</v>
      </c>
      <c r="B1876" s="1" t="s">
        <v>1883</v>
      </c>
      <c r="C1876" s="1">
        <v>8</v>
      </c>
      <c r="D1876" s="1">
        <v>0</v>
      </c>
      <c r="E1876" s="1">
        <v>8</v>
      </c>
      <c r="F1876" s="1">
        <v>0</v>
      </c>
      <c r="G1876" s="1">
        <v>0</v>
      </c>
      <c r="H1876" s="1">
        <v>0</v>
      </c>
      <c r="I1876" s="1">
        <v>0</v>
      </c>
      <c r="J1876" s="1">
        <v>0</v>
      </c>
      <c r="K1876" s="1">
        <v>0</v>
      </c>
      <c r="L1876" s="1">
        <v>0</v>
      </c>
      <c r="M1876" s="1">
        <v>0</v>
      </c>
      <c r="N1876" s="1">
        <v>0</v>
      </c>
      <c r="O1876" s="1">
        <v>0</v>
      </c>
      <c r="P1876" s="1">
        <v>0</v>
      </c>
      <c r="Q1876" s="1">
        <v>1</v>
      </c>
      <c r="R1876" s="1">
        <v>1</v>
      </c>
      <c r="S1876" s="1">
        <v>16</v>
      </c>
      <c r="T1876" s="1">
        <v>0</v>
      </c>
      <c r="U1876" s="1">
        <v>0</v>
      </c>
      <c r="V1876" s="1">
        <v>0</v>
      </c>
    </row>
    <row r="1877" spans="1:22" x14ac:dyDescent="0.2">
      <c r="A1877" s="1" t="s">
        <v>1629</v>
      </c>
      <c r="B1877" s="1" t="s">
        <v>1884</v>
      </c>
      <c r="C1877" s="1">
        <v>0</v>
      </c>
      <c r="D1877" s="1">
        <v>0</v>
      </c>
      <c r="E1877" s="1">
        <v>0</v>
      </c>
      <c r="F1877" s="1">
        <v>0</v>
      </c>
      <c r="G1877" s="1">
        <v>0</v>
      </c>
      <c r="H1877" s="1">
        <v>0</v>
      </c>
      <c r="I1877" s="1">
        <v>0</v>
      </c>
      <c r="J1877" s="1">
        <v>0</v>
      </c>
      <c r="K1877" s="1">
        <v>0</v>
      </c>
      <c r="L1877" s="1">
        <v>0</v>
      </c>
      <c r="M1877" s="1">
        <v>0</v>
      </c>
      <c r="N1877" s="1">
        <v>0</v>
      </c>
      <c r="O1877" s="1">
        <v>1</v>
      </c>
      <c r="P1877" s="1">
        <v>1</v>
      </c>
      <c r="Q1877" s="1">
        <v>1</v>
      </c>
      <c r="R1877" s="1">
        <v>0</v>
      </c>
      <c r="S1877" s="1">
        <v>0</v>
      </c>
      <c r="T1877" s="1">
        <v>0</v>
      </c>
      <c r="U1877" s="1">
        <v>0</v>
      </c>
      <c r="V1877" s="1">
        <v>1</v>
      </c>
    </row>
    <row r="1878" spans="1:22" x14ac:dyDescent="0.2">
      <c r="A1878" s="1" t="s">
        <v>1629</v>
      </c>
      <c r="B1878" s="1" t="s">
        <v>1885</v>
      </c>
      <c r="C1878" s="1">
        <v>0</v>
      </c>
      <c r="D1878" s="1">
        <v>0</v>
      </c>
      <c r="E1878" s="1">
        <v>0</v>
      </c>
      <c r="F1878" s="1">
        <v>0</v>
      </c>
      <c r="G1878" s="1">
        <v>0</v>
      </c>
      <c r="H1878" s="1">
        <v>0</v>
      </c>
      <c r="I1878" s="1">
        <v>0</v>
      </c>
      <c r="J1878" s="1">
        <v>0</v>
      </c>
      <c r="K1878" s="1">
        <v>0</v>
      </c>
      <c r="L1878" s="1">
        <v>0</v>
      </c>
      <c r="M1878" s="1">
        <v>1</v>
      </c>
      <c r="N1878" s="1">
        <v>0</v>
      </c>
      <c r="O1878" s="1">
        <v>1</v>
      </c>
      <c r="P1878" s="1">
        <v>0</v>
      </c>
      <c r="Q1878" s="1">
        <v>1</v>
      </c>
      <c r="R1878" s="1">
        <v>0</v>
      </c>
      <c r="S1878" s="1">
        <v>0</v>
      </c>
      <c r="T1878" s="1">
        <v>0</v>
      </c>
      <c r="U1878" s="1">
        <v>0</v>
      </c>
      <c r="V1878" s="1">
        <v>0</v>
      </c>
    </row>
    <row r="1879" spans="1:22" x14ac:dyDescent="0.2">
      <c r="A1879" s="1" t="s">
        <v>1629</v>
      </c>
      <c r="B1879" s="1" t="s">
        <v>1886</v>
      </c>
      <c r="C1879" s="1">
        <v>2</v>
      </c>
      <c r="D1879" s="1">
        <v>1</v>
      </c>
      <c r="E1879" s="1">
        <v>11</v>
      </c>
      <c r="F1879" s="1">
        <v>5</v>
      </c>
      <c r="G1879" s="1">
        <v>7</v>
      </c>
      <c r="H1879" s="1">
        <v>4</v>
      </c>
      <c r="I1879" s="1">
        <v>5</v>
      </c>
      <c r="J1879" s="1">
        <v>8</v>
      </c>
      <c r="K1879" s="1">
        <v>7</v>
      </c>
      <c r="L1879" s="1">
        <v>6</v>
      </c>
      <c r="M1879" s="1">
        <v>13</v>
      </c>
      <c r="N1879" s="1">
        <v>10</v>
      </c>
      <c r="O1879" s="1">
        <v>13</v>
      </c>
      <c r="P1879" s="1">
        <v>11</v>
      </c>
      <c r="Q1879" s="1">
        <v>0</v>
      </c>
      <c r="R1879" s="1">
        <v>0</v>
      </c>
      <c r="S1879" s="1">
        <v>0</v>
      </c>
      <c r="T1879" s="1">
        <v>0</v>
      </c>
      <c r="U1879" s="1">
        <v>0</v>
      </c>
      <c r="V1879" s="1">
        <v>0</v>
      </c>
    </row>
    <row r="1880" spans="1:22" x14ac:dyDescent="0.2">
      <c r="A1880" s="1" t="s">
        <v>1629</v>
      </c>
      <c r="B1880" s="1" t="s">
        <v>1887</v>
      </c>
      <c r="C1880" s="1">
        <v>2</v>
      </c>
      <c r="D1880" s="1">
        <v>0</v>
      </c>
      <c r="E1880" s="1">
        <v>0</v>
      </c>
      <c r="F1880" s="1">
        <v>0</v>
      </c>
      <c r="G1880" s="1">
        <v>0</v>
      </c>
      <c r="H1880" s="1">
        <v>2</v>
      </c>
      <c r="I1880" s="1">
        <v>1</v>
      </c>
      <c r="J1880" s="1">
        <v>1</v>
      </c>
      <c r="K1880" s="1">
        <v>0</v>
      </c>
      <c r="L1880" s="1">
        <v>0</v>
      </c>
      <c r="M1880" s="1">
        <v>1</v>
      </c>
      <c r="N1880" s="1">
        <v>1</v>
      </c>
      <c r="V1880" s="1">
        <v>0</v>
      </c>
    </row>
    <row r="1881" spans="1:22" x14ac:dyDescent="0.2">
      <c r="A1881" s="1" t="s">
        <v>1629</v>
      </c>
      <c r="B1881" s="1" t="s">
        <v>1888</v>
      </c>
      <c r="C1881" s="1">
        <v>11</v>
      </c>
      <c r="D1881" s="1">
        <v>2</v>
      </c>
      <c r="E1881" s="1">
        <v>3</v>
      </c>
      <c r="F1881" s="1">
        <v>14</v>
      </c>
      <c r="G1881" s="1">
        <v>6</v>
      </c>
      <c r="H1881" s="1">
        <v>4</v>
      </c>
      <c r="I1881" s="1">
        <v>3</v>
      </c>
      <c r="J1881" s="1">
        <v>0</v>
      </c>
      <c r="K1881" s="1">
        <v>4</v>
      </c>
      <c r="L1881" s="1">
        <v>6</v>
      </c>
      <c r="M1881" s="1">
        <v>3</v>
      </c>
      <c r="N1881" s="1">
        <v>4</v>
      </c>
      <c r="O1881" s="1">
        <v>4</v>
      </c>
      <c r="P1881" s="1">
        <v>2</v>
      </c>
      <c r="Q1881" s="1">
        <v>3</v>
      </c>
      <c r="R1881" s="1">
        <v>6</v>
      </c>
      <c r="S1881" s="1">
        <v>0</v>
      </c>
      <c r="T1881" s="1">
        <v>6</v>
      </c>
      <c r="U1881" s="1">
        <v>4</v>
      </c>
      <c r="V1881" s="1">
        <v>5</v>
      </c>
    </row>
    <row r="1882" spans="1:22" x14ac:dyDescent="0.2">
      <c r="A1882" s="1" t="s">
        <v>1629</v>
      </c>
      <c r="B1882" s="1" t="s">
        <v>1889</v>
      </c>
      <c r="C1882" s="1">
        <v>0</v>
      </c>
      <c r="D1882" s="1">
        <v>0</v>
      </c>
      <c r="E1882" s="1">
        <v>0</v>
      </c>
      <c r="F1882" s="1">
        <v>0</v>
      </c>
      <c r="G1882" s="1">
        <v>0</v>
      </c>
      <c r="H1882" s="1">
        <v>0</v>
      </c>
      <c r="I1882" s="1">
        <v>0</v>
      </c>
      <c r="J1882" s="1">
        <v>0</v>
      </c>
      <c r="K1882" s="1">
        <v>0</v>
      </c>
      <c r="L1882" s="1">
        <v>1</v>
      </c>
      <c r="M1882" s="1">
        <v>0</v>
      </c>
      <c r="N1882" s="1">
        <v>1</v>
      </c>
      <c r="O1882" s="1">
        <v>0</v>
      </c>
      <c r="P1882" s="1">
        <v>0</v>
      </c>
      <c r="Q1882" s="1">
        <v>0</v>
      </c>
      <c r="R1882" s="1">
        <v>0</v>
      </c>
      <c r="S1882" s="1">
        <v>0</v>
      </c>
      <c r="T1882" s="1">
        <v>1</v>
      </c>
      <c r="U1882" s="1">
        <v>1</v>
      </c>
      <c r="V1882" s="1">
        <v>2</v>
      </c>
    </row>
    <row r="1883" spans="1:22" x14ac:dyDescent="0.2">
      <c r="A1883" s="1" t="s">
        <v>1629</v>
      </c>
      <c r="B1883" s="1" t="s">
        <v>1890</v>
      </c>
      <c r="C1883" s="1">
        <v>150</v>
      </c>
      <c r="D1883" s="1">
        <v>162</v>
      </c>
      <c r="E1883" s="1">
        <v>135</v>
      </c>
      <c r="F1883" s="1">
        <v>171</v>
      </c>
      <c r="G1883" s="1">
        <v>141</v>
      </c>
      <c r="H1883" s="1">
        <v>198</v>
      </c>
      <c r="I1883" s="1">
        <v>169</v>
      </c>
      <c r="J1883" s="1">
        <v>139</v>
      </c>
      <c r="K1883" s="1">
        <v>121</v>
      </c>
      <c r="L1883" s="1">
        <v>63</v>
      </c>
      <c r="M1883" s="1">
        <v>204</v>
      </c>
      <c r="N1883" s="1">
        <v>146</v>
      </c>
      <c r="O1883" s="1">
        <v>208</v>
      </c>
      <c r="P1883" s="1">
        <v>281</v>
      </c>
      <c r="Q1883" s="1">
        <v>47</v>
      </c>
      <c r="R1883" s="1">
        <v>166</v>
      </c>
      <c r="S1883" s="1">
        <v>29</v>
      </c>
      <c r="T1883" s="1">
        <v>179</v>
      </c>
      <c r="U1883" s="1">
        <v>120</v>
      </c>
      <c r="V1883" s="1">
        <v>301</v>
      </c>
    </row>
    <row r="1884" spans="1:22" x14ac:dyDescent="0.2">
      <c r="A1884" s="1" t="s">
        <v>1629</v>
      </c>
      <c r="B1884" s="1" t="s">
        <v>1891</v>
      </c>
      <c r="C1884" s="1">
        <v>19</v>
      </c>
      <c r="D1884" s="1">
        <v>24</v>
      </c>
      <c r="E1884" s="1">
        <v>28</v>
      </c>
      <c r="F1884" s="1">
        <v>23</v>
      </c>
      <c r="G1884" s="1">
        <v>20</v>
      </c>
      <c r="H1884" s="1">
        <v>18</v>
      </c>
      <c r="I1884" s="1">
        <v>11</v>
      </c>
      <c r="J1884" s="1">
        <v>18</v>
      </c>
      <c r="K1884" s="1">
        <v>25</v>
      </c>
      <c r="L1884" s="1">
        <v>21</v>
      </c>
      <c r="M1884" s="1">
        <v>17</v>
      </c>
      <c r="N1884" s="1">
        <v>30</v>
      </c>
      <c r="O1884" s="1">
        <v>22</v>
      </c>
      <c r="P1884" s="1">
        <v>20</v>
      </c>
      <c r="Q1884" s="1">
        <v>20</v>
      </c>
      <c r="R1884" s="1">
        <v>24</v>
      </c>
      <c r="S1884" s="1">
        <v>16</v>
      </c>
      <c r="T1884" s="1">
        <v>26</v>
      </c>
      <c r="U1884" s="1">
        <v>23</v>
      </c>
      <c r="V1884" s="1">
        <v>39</v>
      </c>
    </row>
    <row r="1885" spans="1:22" x14ac:dyDescent="0.2">
      <c r="A1885" s="1" t="s">
        <v>1629</v>
      </c>
      <c r="B1885" s="1" t="s">
        <v>1892</v>
      </c>
      <c r="C1885" s="1">
        <v>6</v>
      </c>
      <c r="D1885" s="1">
        <v>6</v>
      </c>
      <c r="E1885" s="1">
        <v>6</v>
      </c>
      <c r="F1885" s="1">
        <v>3</v>
      </c>
      <c r="G1885" s="1">
        <v>10</v>
      </c>
      <c r="H1885" s="1">
        <v>4</v>
      </c>
      <c r="I1885" s="1">
        <v>1</v>
      </c>
      <c r="J1885" s="1">
        <v>5</v>
      </c>
      <c r="K1885" s="1">
        <v>6</v>
      </c>
      <c r="L1885" s="1">
        <v>2</v>
      </c>
      <c r="M1885" s="1">
        <v>1</v>
      </c>
      <c r="N1885" s="1">
        <v>3</v>
      </c>
      <c r="O1885" s="1">
        <v>0</v>
      </c>
      <c r="P1885" s="1">
        <v>2</v>
      </c>
      <c r="Q1885" s="1">
        <v>2</v>
      </c>
      <c r="R1885" s="1">
        <v>3</v>
      </c>
      <c r="S1885" s="1">
        <v>0</v>
      </c>
      <c r="T1885" s="1">
        <v>4</v>
      </c>
      <c r="U1885" s="1">
        <v>0</v>
      </c>
      <c r="V1885" s="1">
        <v>0</v>
      </c>
    </row>
    <row r="1886" spans="1:22" x14ac:dyDescent="0.2">
      <c r="A1886" s="1" t="s">
        <v>1629</v>
      </c>
      <c r="B1886" s="1" t="s">
        <v>1893</v>
      </c>
      <c r="C1886" s="1">
        <v>0</v>
      </c>
      <c r="D1886" s="1">
        <v>0</v>
      </c>
      <c r="E1886" s="1">
        <v>5</v>
      </c>
      <c r="F1886" s="1">
        <v>1</v>
      </c>
      <c r="G1886" s="1">
        <v>8</v>
      </c>
      <c r="H1886" s="1">
        <v>2</v>
      </c>
      <c r="I1886" s="1">
        <v>8</v>
      </c>
      <c r="J1886" s="1">
        <v>3</v>
      </c>
      <c r="K1886" s="1">
        <v>6</v>
      </c>
      <c r="L1886" s="1">
        <v>7</v>
      </c>
      <c r="M1886" s="1">
        <v>8</v>
      </c>
      <c r="N1886" s="1">
        <v>13</v>
      </c>
      <c r="O1886" s="1">
        <v>13</v>
      </c>
      <c r="P1886" s="1">
        <v>10</v>
      </c>
      <c r="Q1886" s="1">
        <v>13</v>
      </c>
      <c r="R1886" s="1">
        <v>13</v>
      </c>
      <c r="S1886" s="1">
        <v>16</v>
      </c>
      <c r="T1886" s="1">
        <v>23</v>
      </c>
      <c r="U1886" s="1">
        <v>35</v>
      </c>
      <c r="V1886" s="1">
        <v>45</v>
      </c>
    </row>
    <row r="1887" spans="1:22" x14ac:dyDescent="0.2">
      <c r="A1887" s="1" t="s">
        <v>1629</v>
      </c>
      <c r="B1887" s="1" t="s">
        <v>1894</v>
      </c>
      <c r="C1887" s="1">
        <v>0</v>
      </c>
      <c r="D1887" s="1">
        <v>0</v>
      </c>
      <c r="E1887" s="1">
        <v>0</v>
      </c>
      <c r="F1887" s="1">
        <v>0</v>
      </c>
      <c r="G1887" s="1">
        <v>0</v>
      </c>
      <c r="H1887" s="1">
        <v>0</v>
      </c>
      <c r="I1887" s="1">
        <v>1</v>
      </c>
      <c r="J1887" s="1">
        <v>1</v>
      </c>
      <c r="K1887" s="1">
        <v>5</v>
      </c>
      <c r="L1887" s="1">
        <v>1</v>
      </c>
      <c r="M1887" s="1">
        <v>1</v>
      </c>
      <c r="N1887" s="1">
        <v>2</v>
      </c>
      <c r="O1887" s="1">
        <v>0</v>
      </c>
      <c r="P1887" s="1">
        <v>0</v>
      </c>
      <c r="Q1887" s="1">
        <v>1</v>
      </c>
      <c r="R1887" s="1">
        <v>0</v>
      </c>
      <c r="S1887" s="1">
        <v>1</v>
      </c>
      <c r="T1887" s="1">
        <v>0</v>
      </c>
      <c r="U1887" s="1">
        <v>0</v>
      </c>
      <c r="V1887" s="1">
        <v>0</v>
      </c>
    </row>
    <row r="1888" spans="1:22" x14ac:dyDescent="0.2">
      <c r="A1888" s="1" t="s">
        <v>1629</v>
      </c>
      <c r="B1888" s="1" t="s">
        <v>1895</v>
      </c>
      <c r="C1888" s="1">
        <v>5</v>
      </c>
      <c r="D1888" s="1">
        <v>11</v>
      </c>
      <c r="E1888" s="1">
        <v>9</v>
      </c>
      <c r="F1888" s="1">
        <v>10</v>
      </c>
      <c r="G1888" s="1">
        <v>5</v>
      </c>
      <c r="H1888" s="1">
        <v>3</v>
      </c>
      <c r="I1888" s="1">
        <v>12</v>
      </c>
      <c r="J1888" s="1">
        <v>10</v>
      </c>
      <c r="K1888" s="1">
        <v>11</v>
      </c>
      <c r="L1888" s="1">
        <v>11</v>
      </c>
      <c r="M1888" s="1">
        <v>4</v>
      </c>
      <c r="N1888" s="1">
        <v>3</v>
      </c>
      <c r="O1888" s="1">
        <v>5</v>
      </c>
      <c r="P1888" s="1">
        <v>8</v>
      </c>
      <c r="Q1888" s="1">
        <v>5</v>
      </c>
      <c r="R1888" s="1">
        <v>8</v>
      </c>
      <c r="S1888" s="1">
        <v>6</v>
      </c>
      <c r="T1888" s="1">
        <v>9</v>
      </c>
      <c r="U1888" s="1">
        <v>9</v>
      </c>
      <c r="V1888" s="1">
        <v>10</v>
      </c>
    </row>
    <row r="1889" spans="1:22" x14ac:dyDescent="0.2">
      <c r="A1889" s="1" t="s">
        <v>1629</v>
      </c>
      <c r="B1889" s="1" t="s">
        <v>1896</v>
      </c>
      <c r="C1889" s="1">
        <v>239</v>
      </c>
      <c r="D1889" s="1">
        <v>115</v>
      </c>
      <c r="E1889" s="1">
        <v>161</v>
      </c>
      <c r="F1889" s="1">
        <v>144</v>
      </c>
      <c r="G1889" s="1">
        <v>174</v>
      </c>
      <c r="H1889" s="1">
        <v>161</v>
      </c>
      <c r="I1889" s="1">
        <v>119</v>
      </c>
      <c r="J1889" s="1">
        <v>94</v>
      </c>
      <c r="K1889" s="1">
        <v>116</v>
      </c>
      <c r="L1889" s="1">
        <v>135</v>
      </c>
      <c r="M1889" s="1">
        <v>166</v>
      </c>
      <c r="N1889" s="1">
        <v>231</v>
      </c>
      <c r="O1889" s="1">
        <v>234</v>
      </c>
      <c r="P1889" s="1">
        <v>260</v>
      </c>
      <c r="Q1889" s="1">
        <v>169</v>
      </c>
      <c r="R1889" s="1">
        <v>167</v>
      </c>
      <c r="S1889" s="1">
        <v>201</v>
      </c>
      <c r="T1889" s="1">
        <v>241</v>
      </c>
      <c r="U1889" s="1">
        <v>147</v>
      </c>
      <c r="V1889" s="1">
        <v>224</v>
      </c>
    </row>
    <row r="1890" spans="1:22" x14ac:dyDescent="0.2">
      <c r="A1890" s="1" t="s">
        <v>1629</v>
      </c>
      <c r="B1890" s="1" t="s">
        <v>1897</v>
      </c>
      <c r="C1890" s="1">
        <v>0</v>
      </c>
      <c r="D1890" s="1">
        <v>0</v>
      </c>
      <c r="E1890" s="1">
        <v>0</v>
      </c>
      <c r="F1890" s="1">
        <v>0</v>
      </c>
      <c r="G1890" s="1">
        <v>0</v>
      </c>
      <c r="H1890" s="1">
        <v>0</v>
      </c>
      <c r="I1890" s="1">
        <v>0</v>
      </c>
      <c r="J1890" s="1">
        <v>0</v>
      </c>
      <c r="K1890" s="1">
        <v>0</v>
      </c>
      <c r="L1890" s="1">
        <v>0</v>
      </c>
      <c r="M1890" s="1">
        <v>0</v>
      </c>
      <c r="N1890" s="1">
        <v>0</v>
      </c>
      <c r="O1890" s="1">
        <v>0</v>
      </c>
      <c r="P1890" s="1">
        <v>0</v>
      </c>
      <c r="Q1890" s="1">
        <v>1</v>
      </c>
      <c r="R1890" s="1">
        <v>2</v>
      </c>
      <c r="S1890" s="1">
        <v>7</v>
      </c>
      <c r="T1890" s="1">
        <v>0</v>
      </c>
      <c r="U1890" s="1">
        <v>0</v>
      </c>
      <c r="V1890" s="1">
        <v>12</v>
      </c>
    </row>
    <row r="1891" spans="1:22" x14ac:dyDescent="0.2">
      <c r="A1891" s="1" t="s">
        <v>1629</v>
      </c>
      <c r="B1891" s="1" t="s">
        <v>1898</v>
      </c>
      <c r="C1891" s="1">
        <v>27</v>
      </c>
      <c r="D1891" s="1">
        <v>39</v>
      </c>
      <c r="E1891" s="1">
        <v>28</v>
      </c>
      <c r="F1891" s="1">
        <v>24</v>
      </c>
      <c r="G1891" s="1">
        <v>21</v>
      </c>
      <c r="H1891" s="1">
        <v>19</v>
      </c>
      <c r="I1891" s="1">
        <v>15</v>
      </c>
      <c r="J1891" s="1">
        <v>20</v>
      </c>
      <c r="K1891" s="1">
        <v>40</v>
      </c>
      <c r="L1891" s="1">
        <v>22</v>
      </c>
      <c r="M1891" s="1">
        <v>28</v>
      </c>
      <c r="N1891" s="1">
        <v>47</v>
      </c>
      <c r="O1891" s="1">
        <v>41</v>
      </c>
      <c r="P1891" s="1">
        <v>35</v>
      </c>
      <c r="Q1891" s="1">
        <v>21</v>
      </c>
      <c r="R1891" s="1">
        <v>22</v>
      </c>
      <c r="S1891" s="1">
        <v>21</v>
      </c>
      <c r="T1891" s="1">
        <v>34</v>
      </c>
      <c r="U1891" s="1">
        <v>34</v>
      </c>
      <c r="V1891" s="1">
        <v>56</v>
      </c>
    </row>
    <row r="1892" spans="1:22" x14ac:dyDescent="0.2">
      <c r="A1892" s="1" t="s">
        <v>1629</v>
      </c>
      <c r="B1892" s="1" t="s">
        <v>1899</v>
      </c>
      <c r="C1892" s="1">
        <v>30</v>
      </c>
      <c r="D1892" s="1">
        <v>41</v>
      </c>
      <c r="E1892" s="1">
        <v>48</v>
      </c>
      <c r="F1892" s="1">
        <v>41</v>
      </c>
      <c r="G1892" s="1">
        <v>58</v>
      </c>
      <c r="H1892" s="1">
        <v>49</v>
      </c>
      <c r="I1892" s="1">
        <v>62</v>
      </c>
      <c r="J1892" s="1">
        <v>49</v>
      </c>
      <c r="K1892" s="1">
        <v>44</v>
      </c>
      <c r="L1892" s="1">
        <v>60</v>
      </c>
      <c r="M1892" s="1">
        <v>45</v>
      </c>
      <c r="N1892" s="1">
        <v>81</v>
      </c>
      <c r="O1892" s="1">
        <v>105</v>
      </c>
      <c r="P1892" s="1">
        <v>82</v>
      </c>
      <c r="Q1892" s="1">
        <v>39</v>
      </c>
      <c r="R1892" s="1">
        <v>57</v>
      </c>
      <c r="S1892" s="1">
        <v>60</v>
      </c>
      <c r="T1892" s="1">
        <v>68</v>
      </c>
      <c r="U1892" s="1">
        <v>130</v>
      </c>
      <c r="V1892" s="1">
        <v>141</v>
      </c>
    </row>
    <row r="1893" spans="1:22" x14ac:dyDescent="0.2">
      <c r="A1893" s="1" t="s">
        <v>1629</v>
      </c>
      <c r="B1893" s="1" t="s">
        <v>1900</v>
      </c>
      <c r="C1893" s="1">
        <v>0</v>
      </c>
      <c r="D1893" s="1">
        <v>0</v>
      </c>
      <c r="E1893" s="1">
        <v>0</v>
      </c>
      <c r="F1893" s="1">
        <v>0</v>
      </c>
      <c r="G1893" s="1">
        <v>0</v>
      </c>
      <c r="H1893" s="1">
        <v>0</v>
      </c>
      <c r="I1893" s="1">
        <v>0</v>
      </c>
      <c r="J1893" s="1">
        <v>0</v>
      </c>
      <c r="K1893" s="1">
        <v>1</v>
      </c>
      <c r="L1893" s="1">
        <v>0</v>
      </c>
      <c r="M1893" s="1">
        <v>0</v>
      </c>
      <c r="N1893" s="1">
        <v>0</v>
      </c>
      <c r="O1893" s="1">
        <v>0</v>
      </c>
      <c r="P1893" s="1">
        <v>1</v>
      </c>
      <c r="Q1893" s="1">
        <v>0</v>
      </c>
      <c r="R1893" s="1">
        <v>0</v>
      </c>
      <c r="S1893" s="1">
        <v>0</v>
      </c>
      <c r="T1893" s="1">
        <v>0</v>
      </c>
      <c r="U1893" s="1">
        <v>0</v>
      </c>
      <c r="V1893" s="1">
        <v>0</v>
      </c>
    </row>
    <row r="1894" spans="1:22" x14ac:dyDescent="0.2">
      <c r="A1894" s="1" t="s">
        <v>1629</v>
      </c>
      <c r="B1894" s="1" t="s">
        <v>1901</v>
      </c>
      <c r="C1894" s="1">
        <v>0</v>
      </c>
      <c r="D1894" s="1">
        <v>0</v>
      </c>
      <c r="E1894" s="1">
        <v>0</v>
      </c>
      <c r="F1894" s="1">
        <v>0</v>
      </c>
      <c r="G1894" s="1">
        <v>0</v>
      </c>
      <c r="H1894" s="1">
        <v>0</v>
      </c>
      <c r="I1894" s="1">
        <v>0</v>
      </c>
      <c r="J1894" s="1">
        <v>0</v>
      </c>
      <c r="K1894" s="1">
        <v>1</v>
      </c>
      <c r="L1894" s="1">
        <v>0</v>
      </c>
      <c r="M1894" s="1">
        <v>0</v>
      </c>
      <c r="N1894" s="1">
        <v>0</v>
      </c>
      <c r="O1894" s="1">
        <v>0</v>
      </c>
      <c r="P1894" s="1">
        <v>0</v>
      </c>
      <c r="Q1894" s="1">
        <v>0</v>
      </c>
      <c r="R1894" s="1">
        <v>2</v>
      </c>
      <c r="S1894" s="1">
        <v>2</v>
      </c>
      <c r="T1894" s="1">
        <v>1</v>
      </c>
      <c r="U1894" s="1">
        <v>1</v>
      </c>
      <c r="V1894" s="1">
        <v>0</v>
      </c>
    </row>
    <row r="1895" spans="1:22" x14ac:dyDescent="0.2">
      <c r="A1895" s="1" t="s">
        <v>1629</v>
      </c>
      <c r="B1895" s="1" t="s">
        <v>1902</v>
      </c>
      <c r="C1895" s="1">
        <f t="shared" ref="C1895:K1895" si="293">SUM(C1896:C1909)</f>
        <v>4</v>
      </c>
      <c r="D1895" s="1">
        <f t="shared" si="293"/>
        <v>6</v>
      </c>
      <c r="E1895" s="1">
        <f t="shared" si="293"/>
        <v>4</v>
      </c>
      <c r="F1895" s="1">
        <f t="shared" si="293"/>
        <v>4</v>
      </c>
      <c r="G1895" s="1">
        <f t="shared" si="293"/>
        <v>8</v>
      </c>
      <c r="H1895" s="1">
        <f t="shared" si="293"/>
        <v>23</v>
      </c>
      <c r="I1895" s="1">
        <f t="shared" si="293"/>
        <v>21</v>
      </c>
      <c r="J1895" s="1">
        <f t="shared" si="293"/>
        <v>26</v>
      </c>
      <c r="K1895" s="1">
        <f t="shared" si="293"/>
        <v>32</v>
      </c>
      <c r="L1895" s="1">
        <f>SUM(L1896:L1909)</f>
        <v>23</v>
      </c>
      <c r="M1895" s="1">
        <f>SUM(M1896:M1909)</f>
        <v>38</v>
      </c>
      <c r="N1895" s="1">
        <f>SUM(N1896:N1909)</f>
        <v>65</v>
      </c>
      <c r="O1895" s="1">
        <f t="shared" ref="O1895:V1895" si="294">SUM(O1896:O1909)</f>
        <v>59</v>
      </c>
      <c r="P1895" s="1">
        <f t="shared" si="294"/>
        <v>55</v>
      </c>
      <c r="Q1895" s="1">
        <f t="shared" si="294"/>
        <v>62</v>
      </c>
      <c r="R1895" s="1">
        <f t="shared" si="294"/>
        <v>87</v>
      </c>
      <c r="S1895" s="1">
        <f t="shared" si="294"/>
        <v>86</v>
      </c>
      <c r="T1895" s="1">
        <f t="shared" si="294"/>
        <v>120</v>
      </c>
      <c r="U1895" s="1">
        <f t="shared" si="294"/>
        <v>100</v>
      </c>
      <c r="V1895" s="1">
        <f t="shared" si="294"/>
        <v>187</v>
      </c>
    </row>
    <row r="1896" spans="1:22" x14ac:dyDescent="0.2">
      <c r="A1896" s="1" t="s">
        <v>1629</v>
      </c>
      <c r="B1896" s="1" t="s">
        <v>1903</v>
      </c>
      <c r="C1896" s="1">
        <v>0</v>
      </c>
      <c r="D1896" s="1">
        <v>0</v>
      </c>
      <c r="E1896" s="1">
        <v>0</v>
      </c>
      <c r="F1896" s="1">
        <v>0</v>
      </c>
      <c r="G1896" s="1">
        <v>0</v>
      </c>
      <c r="H1896" s="1">
        <v>0</v>
      </c>
      <c r="I1896" s="1">
        <v>0</v>
      </c>
      <c r="J1896" s="1">
        <v>0</v>
      </c>
      <c r="K1896" s="1">
        <v>0</v>
      </c>
      <c r="L1896" s="1">
        <v>0</v>
      </c>
      <c r="M1896" s="1">
        <v>0</v>
      </c>
      <c r="N1896" s="1">
        <v>1</v>
      </c>
      <c r="O1896" s="1">
        <v>0</v>
      </c>
      <c r="P1896" s="1">
        <v>0</v>
      </c>
      <c r="Q1896" s="1">
        <v>2</v>
      </c>
      <c r="R1896" s="1">
        <v>0</v>
      </c>
      <c r="S1896" s="1">
        <v>2</v>
      </c>
      <c r="T1896" s="1">
        <v>3</v>
      </c>
      <c r="U1896" s="1">
        <v>1</v>
      </c>
      <c r="V1896" s="1">
        <v>2</v>
      </c>
    </row>
    <row r="1897" spans="1:22" x14ac:dyDescent="0.2">
      <c r="A1897" s="1" t="s">
        <v>1629</v>
      </c>
      <c r="B1897" s="1" t="s">
        <v>1904</v>
      </c>
      <c r="C1897" s="1">
        <v>0</v>
      </c>
      <c r="D1897" s="1">
        <v>0</v>
      </c>
      <c r="E1897" s="1">
        <v>0</v>
      </c>
      <c r="F1897" s="1">
        <v>0</v>
      </c>
      <c r="G1897" s="1">
        <v>0</v>
      </c>
      <c r="H1897" s="1">
        <v>0</v>
      </c>
      <c r="I1897" s="1">
        <v>0</v>
      </c>
      <c r="J1897" s="1">
        <v>0</v>
      </c>
      <c r="K1897" s="1">
        <v>0</v>
      </c>
      <c r="L1897" s="1">
        <v>0</v>
      </c>
      <c r="M1897" s="1">
        <v>0</v>
      </c>
      <c r="N1897" s="1">
        <v>0</v>
      </c>
      <c r="O1897" s="1">
        <v>0</v>
      </c>
      <c r="P1897" s="1">
        <v>0</v>
      </c>
      <c r="Q1897" s="1">
        <v>0</v>
      </c>
      <c r="R1897" s="1">
        <v>0</v>
      </c>
      <c r="S1897" s="1">
        <v>0</v>
      </c>
      <c r="T1897" s="1">
        <v>31</v>
      </c>
      <c r="U1897" s="1">
        <v>0</v>
      </c>
      <c r="V1897" s="1">
        <v>0</v>
      </c>
    </row>
    <row r="1898" spans="1:22" x14ac:dyDescent="0.2">
      <c r="A1898" s="1" t="s">
        <v>1629</v>
      </c>
      <c r="B1898" s="1" t="s">
        <v>1905</v>
      </c>
      <c r="C1898" s="1">
        <v>0</v>
      </c>
      <c r="D1898" s="1">
        <v>0</v>
      </c>
      <c r="E1898" s="1">
        <v>0</v>
      </c>
      <c r="F1898" s="1">
        <v>0</v>
      </c>
      <c r="G1898" s="1">
        <v>0</v>
      </c>
      <c r="H1898" s="1">
        <v>0</v>
      </c>
      <c r="I1898" s="1">
        <v>0</v>
      </c>
      <c r="J1898" s="1">
        <v>0</v>
      </c>
      <c r="K1898" s="1">
        <v>0</v>
      </c>
      <c r="L1898" s="1">
        <v>0</v>
      </c>
      <c r="M1898" s="1">
        <v>0</v>
      </c>
      <c r="N1898" s="1">
        <v>4</v>
      </c>
      <c r="O1898" s="1">
        <v>2</v>
      </c>
      <c r="P1898" s="1">
        <v>0</v>
      </c>
      <c r="Q1898" s="1">
        <v>1</v>
      </c>
      <c r="R1898" s="1">
        <v>2</v>
      </c>
      <c r="S1898" s="1">
        <v>0</v>
      </c>
      <c r="T1898" s="1">
        <v>0</v>
      </c>
      <c r="U1898" s="1">
        <v>0</v>
      </c>
      <c r="V1898" s="1">
        <v>0</v>
      </c>
    </row>
    <row r="1899" spans="1:22" x14ac:dyDescent="0.2">
      <c r="A1899" s="1" t="s">
        <v>1629</v>
      </c>
      <c r="B1899" s="1" t="s">
        <v>1906</v>
      </c>
      <c r="C1899" s="1">
        <v>0</v>
      </c>
      <c r="D1899" s="1">
        <v>0</v>
      </c>
      <c r="E1899" s="1">
        <v>0</v>
      </c>
      <c r="F1899" s="1">
        <v>0</v>
      </c>
      <c r="G1899" s="1">
        <v>0</v>
      </c>
      <c r="H1899" s="1">
        <v>0</v>
      </c>
      <c r="I1899" s="1">
        <v>0</v>
      </c>
      <c r="J1899" s="1">
        <v>0</v>
      </c>
      <c r="K1899" s="1">
        <v>0</v>
      </c>
      <c r="L1899" s="1">
        <v>0</v>
      </c>
      <c r="M1899" s="1">
        <v>0</v>
      </c>
      <c r="N1899" s="1">
        <v>1</v>
      </c>
      <c r="O1899" s="1">
        <v>1</v>
      </c>
      <c r="P1899" s="1">
        <v>2</v>
      </c>
      <c r="Q1899" s="1">
        <v>2</v>
      </c>
      <c r="R1899" s="1">
        <v>0</v>
      </c>
      <c r="S1899" s="1">
        <v>1</v>
      </c>
      <c r="T1899" s="1">
        <v>2</v>
      </c>
      <c r="U1899" s="1">
        <v>10</v>
      </c>
      <c r="V1899" s="1">
        <v>5</v>
      </c>
    </row>
    <row r="1900" spans="1:22" x14ac:dyDescent="0.2">
      <c r="A1900" s="1" t="s">
        <v>1629</v>
      </c>
      <c r="B1900" s="1" t="s">
        <v>1907</v>
      </c>
      <c r="C1900" s="1">
        <v>0</v>
      </c>
      <c r="D1900" s="1">
        <v>0</v>
      </c>
      <c r="E1900" s="1">
        <v>0</v>
      </c>
      <c r="F1900" s="1">
        <v>0</v>
      </c>
      <c r="G1900" s="1">
        <v>0</v>
      </c>
      <c r="H1900" s="1">
        <v>0</v>
      </c>
      <c r="I1900" s="1">
        <v>0</v>
      </c>
      <c r="J1900" s="1">
        <v>0</v>
      </c>
      <c r="K1900" s="1">
        <v>0</v>
      </c>
      <c r="L1900" s="1">
        <v>0</v>
      </c>
      <c r="M1900" s="1">
        <v>0</v>
      </c>
      <c r="N1900" s="1">
        <v>0</v>
      </c>
      <c r="O1900" s="1">
        <v>4</v>
      </c>
      <c r="P1900" s="1">
        <v>2</v>
      </c>
      <c r="Q1900" s="1">
        <v>2</v>
      </c>
      <c r="R1900" s="1">
        <v>1</v>
      </c>
      <c r="S1900" s="1">
        <v>4</v>
      </c>
      <c r="T1900" s="1">
        <v>4</v>
      </c>
      <c r="U1900" s="1">
        <v>9</v>
      </c>
      <c r="V1900" s="1">
        <v>12</v>
      </c>
    </row>
    <row r="1901" spans="1:22" x14ac:dyDescent="0.2">
      <c r="A1901" s="1" t="s">
        <v>1629</v>
      </c>
      <c r="B1901" s="1" t="s">
        <v>1908</v>
      </c>
      <c r="C1901" s="1">
        <v>0</v>
      </c>
      <c r="D1901" s="1">
        <v>0</v>
      </c>
      <c r="E1901" s="1">
        <v>0</v>
      </c>
      <c r="F1901" s="1">
        <v>0</v>
      </c>
      <c r="G1901" s="1">
        <v>0</v>
      </c>
      <c r="H1901" s="1">
        <v>0</v>
      </c>
      <c r="I1901" s="1">
        <v>0</v>
      </c>
      <c r="J1901" s="1">
        <v>0</v>
      </c>
      <c r="K1901" s="1">
        <v>0</v>
      </c>
      <c r="L1901" s="1">
        <v>0</v>
      </c>
      <c r="M1901" s="1">
        <v>0</v>
      </c>
      <c r="N1901" s="1">
        <v>0</v>
      </c>
      <c r="O1901" s="1">
        <v>0</v>
      </c>
      <c r="P1901" s="1">
        <v>0</v>
      </c>
      <c r="Q1901" s="1">
        <v>0</v>
      </c>
      <c r="R1901" s="1">
        <v>0</v>
      </c>
      <c r="S1901" s="1">
        <v>0</v>
      </c>
      <c r="T1901" s="1">
        <v>2</v>
      </c>
      <c r="U1901" s="1">
        <v>2</v>
      </c>
      <c r="V1901" s="1">
        <v>12</v>
      </c>
    </row>
    <row r="1902" spans="1:22" x14ac:dyDescent="0.2">
      <c r="A1902" s="1" t="s">
        <v>1629</v>
      </c>
      <c r="B1902" s="1" t="s">
        <v>1909</v>
      </c>
      <c r="C1902" s="1">
        <v>0</v>
      </c>
      <c r="D1902" s="1">
        <v>0</v>
      </c>
      <c r="E1902" s="1">
        <v>0</v>
      </c>
      <c r="F1902" s="1">
        <v>0</v>
      </c>
      <c r="G1902" s="1">
        <v>0</v>
      </c>
      <c r="H1902" s="1">
        <v>0</v>
      </c>
      <c r="I1902" s="1">
        <v>0</v>
      </c>
      <c r="J1902" s="1">
        <v>0</v>
      </c>
      <c r="K1902" s="1">
        <v>0</v>
      </c>
      <c r="L1902" s="1">
        <v>0</v>
      </c>
      <c r="M1902" s="1">
        <v>0</v>
      </c>
      <c r="N1902" s="1">
        <v>1</v>
      </c>
      <c r="O1902" s="1">
        <v>3</v>
      </c>
      <c r="P1902" s="1">
        <v>3</v>
      </c>
      <c r="Q1902" s="1">
        <v>1</v>
      </c>
      <c r="R1902" s="1">
        <v>12</v>
      </c>
      <c r="S1902" s="1">
        <v>6</v>
      </c>
      <c r="T1902" s="1">
        <v>15</v>
      </c>
      <c r="U1902" s="1">
        <v>13</v>
      </c>
      <c r="V1902" s="1">
        <v>26</v>
      </c>
    </row>
    <row r="1903" spans="1:22" x14ac:dyDescent="0.2">
      <c r="A1903" s="1" t="s">
        <v>1629</v>
      </c>
      <c r="B1903" s="1" t="s">
        <v>1910</v>
      </c>
      <c r="C1903" s="1">
        <v>0</v>
      </c>
      <c r="D1903" s="1">
        <v>0</v>
      </c>
      <c r="E1903" s="1">
        <v>0</v>
      </c>
      <c r="F1903" s="1">
        <v>0</v>
      </c>
      <c r="G1903" s="1">
        <v>0</v>
      </c>
      <c r="H1903" s="1">
        <v>0</v>
      </c>
      <c r="I1903" s="1">
        <v>0</v>
      </c>
      <c r="J1903" s="1">
        <v>0</v>
      </c>
      <c r="K1903" s="1">
        <v>0</v>
      </c>
      <c r="L1903" s="1">
        <v>0</v>
      </c>
      <c r="M1903" s="1">
        <v>0</v>
      </c>
      <c r="N1903" s="1">
        <v>0</v>
      </c>
      <c r="O1903" s="1">
        <v>0</v>
      </c>
      <c r="P1903" s="1">
        <v>3</v>
      </c>
      <c r="Q1903" s="1">
        <v>2</v>
      </c>
      <c r="R1903" s="1">
        <v>2</v>
      </c>
      <c r="S1903" s="1">
        <v>2</v>
      </c>
      <c r="T1903" s="1">
        <v>6</v>
      </c>
      <c r="U1903" s="1">
        <v>4</v>
      </c>
      <c r="V1903" s="1">
        <v>3</v>
      </c>
    </row>
    <row r="1904" spans="1:22" x14ac:dyDescent="0.2">
      <c r="A1904" s="1" t="s">
        <v>1629</v>
      </c>
      <c r="B1904" s="1" t="s">
        <v>1911</v>
      </c>
      <c r="C1904" s="1">
        <v>0</v>
      </c>
      <c r="D1904" s="1">
        <v>0</v>
      </c>
      <c r="E1904" s="1">
        <v>0</v>
      </c>
      <c r="F1904" s="1">
        <v>0</v>
      </c>
      <c r="G1904" s="1">
        <v>0</v>
      </c>
      <c r="H1904" s="1">
        <v>0</v>
      </c>
      <c r="I1904" s="1">
        <v>0</v>
      </c>
      <c r="J1904" s="1">
        <v>0</v>
      </c>
      <c r="K1904" s="1">
        <v>0</v>
      </c>
      <c r="L1904" s="1">
        <v>0</v>
      </c>
      <c r="M1904" s="1">
        <v>0</v>
      </c>
      <c r="N1904" s="1">
        <v>0</v>
      </c>
      <c r="O1904" s="1">
        <v>4</v>
      </c>
      <c r="P1904" s="1">
        <v>1</v>
      </c>
      <c r="Q1904" s="1">
        <v>0</v>
      </c>
      <c r="R1904" s="1">
        <v>4</v>
      </c>
      <c r="S1904" s="1">
        <v>3</v>
      </c>
      <c r="T1904" s="1">
        <v>2</v>
      </c>
      <c r="U1904" s="1">
        <v>6</v>
      </c>
      <c r="V1904" s="1">
        <v>6</v>
      </c>
    </row>
    <row r="1905" spans="1:22" x14ac:dyDescent="0.2">
      <c r="A1905" s="1" t="s">
        <v>1629</v>
      </c>
      <c r="B1905" s="1" t="s">
        <v>1912</v>
      </c>
      <c r="C1905" s="1">
        <v>0</v>
      </c>
      <c r="D1905" s="1">
        <v>0</v>
      </c>
      <c r="E1905" s="1">
        <v>0</v>
      </c>
      <c r="F1905" s="1">
        <v>0</v>
      </c>
      <c r="G1905" s="1">
        <v>0</v>
      </c>
      <c r="H1905" s="1">
        <v>0</v>
      </c>
      <c r="I1905" s="1">
        <v>0</v>
      </c>
      <c r="J1905" s="1">
        <v>0</v>
      </c>
      <c r="K1905" s="1">
        <v>0</v>
      </c>
      <c r="L1905" s="1">
        <v>0</v>
      </c>
      <c r="M1905" s="1">
        <v>0</v>
      </c>
      <c r="N1905" s="1">
        <v>2</v>
      </c>
      <c r="O1905" s="1">
        <v>4</v>
      </c>
      <c r="P1905" s="1">
        <v>3</v>
      </c>
      <c r="Q1905" s="1">
        <v>3</v>
      </c>
      <c r="R1905" s="1">
        <v>7</v>
      </c>
      <c r="S1905" s="1">
        <v>3</v>
      </c>
      <c r="T1905" s="1">
        <v>3</v>
      </c>
      <c r="U1905" s="1">
        <v>5</v>
      </c>
      <c r="V1905" s="1">
        <v>9</v>
      </c>
    </row>
    <row r="1906" spans="1:22" x14ac:dyDescent="0.2">
      <c r="A1906" s="1" t="s">
        <v>1629</v>
      </c>
      <c r="B1906" s="1" t="s">
        <v>1913</v>
      </c>
      <c r="C1906" s="1">
        <v>0</v>
      </c>
      <c r="D1906" s="1">
        <v>0</v>
      </c>
      <c r="E1906" s="1">
        <v>0</v>
      </c>
      <c r="F1906" s="1">
        <v>0</v>
      </c>
      <c r="G1906" s="1">
        <v>0</v>
      </c>
      <c r="H1906" s="1">
        <v>0</v>
      </c>
      <c r="I1906" s="1">
        <v>0</v>
      </c>
      <c r="J1906" s="1">
        <v>0</v>
      </c>
      <c r="K1906" s="1">
        <v>0</v>
      </c>
      <c r="L1906" s="1">
        <v>0</v>
      </c>
      <c r="M1906" s="1">
        <v>0</v>
      </c>
      <c r="N1906" s="1">
        <v>1</v>
      </c>
      <c r="O1906" s="1">
        <v>0</v>
      </c>
      <c r="P1906" s="1">
        <v>0</v>
      </c>
      <c r="Q1906" s="1">
        <v>1</v>
      </c>
      <c r="R1906" s="1">
        <v>0</v>
      </c>
      <c r="S1906" s="1">
        <v>0</v>
      </c>
      <c r="T1906" s="1">
        <v>2</v>
      </c>
      <c r="U1906" s="1">
        <v>1</v>
      </c>
      <c r="V1906" s="1">
        <v>6</v>
      </c>
    </row>
    <row r="1907" spans="1:22" x14ac:dyDescent="0.2">
      <c r="A1907" s="1" t="s">
        <v>1629</v>
      </c>
      <c r="B1907" s="1" t="s">
        <v>1914</v>
      </c>
      <c r="C1907" s="1">
        <v>0</v>
      </c>
      <c r="D1907" s="1">
        <v>0</v>
      </c>
      <c r="E1907" s="1">
        <v>0</v>
      </c>
      <c r="F1907" s="1">
        <v>0</v>
      </c>
      <c r="G1907" s="1">
        <v>0</v>
      </c>
      <c r="H1907" s="1">
        <v>2</v>
      </c>
      <c r="I1907" s="1">
        <v>0</v>
      </c>
      <c r="J1907" s="1">
        <v>0</v>
      </c>
      <c r="K1907" s="1">
        <v>2</v>
      </c>
      <c r="L1907" s="1">
        <v>0</v>
      </c>
      <c r="M1907" s="1">
        <v>0</v>
      </c>
      <c r="N1907" s="1">
        <v>10</v>
      </c>
      <c r="O1907" s="1">
        <v>6</v>
      </c>
      <c r="P1907" s="1">
        <v>16</v>
      </c>
      <c r="Q1907" s="1">
        <v>18</v>
      </c>
      <c r="R1907" s="1">
        <v>20</v>
      </c>
      <c r="S1907" s="1">
        <v>22</v>
      </c>
      <c r="T1907" s="1">
        <v>42</v>
      </c>
      <c r="U1907" s="1">
        <v>49</v>
      </c>
      <c r="V1907" s="1">
        <v>44</v>
      </c>
    </row>
    <row r="1908" spans="1:22" x14ac:dyDescent="0.2">
      <c r="A1908" s="1" t="s">
        <v>1629</v>
      </c>
      <c r="B1908" s="1" t="s">
        <v>1915</v>
      </c>
      <c r="C1908" s="1">
        <v>0</v>
      </c>
      <c r="D1908" s="1">
        <v>0</v>
      </c>
      <c r="E1908" s="1">
        <v>0</v>
      </c>
      <c r="F1908" s="1">
        <v>0</v>
      </c>
      <c r="G1908" s="1">
        <v>0</v>
      </c>
      <c r="H1908" s="1">
        <v>0</v>
      </c>
      <c r="I1908" s="1">
        <v>0</v>
      </c>
      <c r="J1908" s="1">
        <v>0</v>
      </c>
      <c r="K1908" s="1">
        <v>0</v>
      </c>
      <c r="L1908" s="1">
        <v>0</v>
      </c>
      <c r="M1908" s="1">
        <v>0</v>
      </c>
      <c r="N1908" s="1">
        <v>1</v>
      </c>
      <c r="O1908" s="1">
        <v>1</v>
      </c>
      <c r="P1908" s="1">
        <v>4</v>
      </c>
      <c r="Q1908" s="1">
        <v>6</v>
      </c>
      <c r="R1908" s="1">
        <v>4</v>
      </c>
      <c r="S1908" s="1">
        <v>2</v>
      </c>
      <c r="T1908" s="1">
        <v>0</v>
      </c>
      <c r="U1908" s="1">
        <v>0</v>
      </c>
      <c r="V1908" s="1">
        <v>1</v>
      </c>
    </row>
    <row r="1909" spans="1:22" x14ac:dyDescent="0.2">
      <c r="A1909" s="1" t="s">
        <v>1629</v>
      </c>
      <c r="B1909" s="1" t="s">
        <v>1916</v>
      </c>
      <c r="C1909" s="1">
        <v>4</v>
      </c>
      <c r="D1909" s="1">
        <v>6</v>
      </c>
      <c r="E1909" s="1">
        <v>4</v>
      </c>
      <c r="F1909" s="1">
        <v>4</v>
      </c>
      <c r="G1909" s="1">
        <v>8</v>
      </c>
      <c r="H1909" s="1">
        <v>21</v>
      </c>
      <c r="I1909" s="1">
        <v>21</v>
      </c>
      <c r="J1909" s="1">
        <v>26</v>
      </c>
      <c r="K1909" s="1">
        <v>30</v>
      </c>
      <c r="L1909" s="1">
        <v>23</v>
      </c>
      <c r="M1909" s="1">
        <v>38</v>
      </c>
      <c r="N1909" s="1">
        <v>44</v>
      </c>
      <c r="O1909" s="1">
        <v>34</v>
      </c>
      <c r="P1909" s="1">
        <v>21</v>
      </c>
      <c r="Q1909" s="1">
        <v>24</v>
      </c>
      <c r="R1909" s="1">
        <v>35</v>
      </c>
      <c r="S1909" s="1">
        <v>41</v>
      </c>
      <c r="T1909" s="1">
        <v>8</v>
      </c>
      <c r="U1909" s="1">
        <v>0</v>
      </c>
      <c r="V1909" s="1">
        <v>61</v>
      </c>
    </row>
    <row r="1910" spans="1:22" x14ac:dyDescent="0.2">
      <c r="A1910" s="1" t="s">
        <v>1629</v>
      </c>
      <c r="B1910" s="1" t="s">
        <v>1917</v>
      </c>
      <c r="C1910" s="1">
        <f t="shared" ref="C1910:K1910" si="295">SUM(C1911:C1917)</f>
        <v>0</v>
      </c>
      <c r="D1910" s="1">
        <f t="shared" si="295"/>
        <v>0</v>
      </c>
      <c r="E1910" s="1">
        <f t="shared" si="295"/>
        <v>1</v>
      </c>
      <c r="F1910" s="1">
        <f t="shared" si="295"/>
        <v>0</v>
      </c>
      <c r="G1910" s="1">
        <f t="shared" si="295"/>
        <v>1</v>
      </c>
      <c r="H1910" s="1">
        <f t="shared" si="295"/>
        <v>1</v>
      </c>
      <c r="I1910" s="1">
        <f t="shared" si="295"/>
        <v>1</v>
      </c>
      <c r="J1910" s="1">
        <f t="shared" si="295"/>
        <v>0</v>
      </c>
      <c r="K1910" s="1">
        <f t="shared" si="295"/>
        <v>1</v>
      </c>
      <c r="L1910" s="1">
        <f>SUM(L1911:L1917)</f>
        <v>3</v>
      </c>
      <c r="M1910" s="1">
        <f>SUM(M1911:M1917)</f>
        <v>4</v>
      </c>
      <c r="N1910" s="1">
        <f>SUM(N1911:N1917)</f>
        <v>4</v>
      </c>
      <c r="O1910" s="1">
        <f t="shared" ref="O1910:V1910" si="296">SUM(O1911:O1917)</f>
        <v>4</v>
      </c>
      <c r="P1910" s="1">
        <f t="shared" si="296"/>
        <v>1</v>
      </c>
      <c r="Q1910" s="1">
        <f t="shared" si="296"/>
        <v>1</v>
      </c>
      <c r="R1910" s="1">
        <f t="shared" si="296"/>
        <v>3</v>
      </c>
      <c r="S1910" s="1">
        <f t="shared" si="296"/>
        <v>3</v>
      </c>
      <c r="T1910" s="1">
        <f t="shared" si="296"/>
        <v>1</v>
      </c>
      <c r="U1910" s="1">
        <f t="shared" si="296"/>
        <v>0</v>
      </c>
      <c r="V1910" s="1">
        <f t="shared" si="296"/>
        <v>3</v>
      </c>
    </row>
    <row r="1911" spans="1:22" x14ac:dyDescent="0.2">
      <c r="A1911" s="1" t="s">
        <v>1629</v>
      </c>
      <c r="B1911" s="1" t="s">
        <v>1918</v>
      </c>
      <c r="C1911" s="1">
        <v>0</v>
      </c>
      <c r="D1911" s="1">
        <v>0</v>
      </c>
      <c r="E1911" s="1">
        <v>1</v>
      </c>
      <c r="F1911" s="1">
        <v>0</v>
      </c>
      <c r="G1911" s="1">
        <v>1</v>
      </c>
      <c r="H1911" s="1">
        <v>0</v>
      </c>
      <c r="I1911" s="1">
        <v>1</v>
      </c>
      <c r="J1911" s="1">
        <v>0</v>
      </c>
      <c r="K1911" s="1">
        <v>0</v>
      </c>
      <c r="L1911" s="1">
        <v>0</v>
      </c>
      <c r="M1911" s="1">
        <v>0</v>
      </c>
      <c r="N1911" s="1">
        <v>2</v>
      </c>
      <c r="V1911" s="1">
        <v>1</v>
      </c>
    </row>
    <row r="1912" spans="1:22" x14ac:dyDescent="0.2">
      <c r="A1912" s="1" t="s">
        <v>1629</v>
      </c>
      <c r="B1912" s="1" t="s">
        <v>1919</v>
      </c>
      <c r="C1912" s="1">
        <v>0</v>
      </c>
      <c r="D1912" s="1">
        <v>0</v>
      </c>
      <c r="E1912" s="1">
        <v>0</v>
      </c>
      <c r="F1912" s="1">
        <v>0</v>
      </c>
      <c r="G1912" s="1">
        <v>0</v>
      </c>
      <c r="H1912" s="1">
        <v>0</v>
      </c>
      <c r="I1912" s="1">
        <v>0</v>
      </c>
      <c r="J1912" s="1">
        <v>0</v>
      </c>
      <c r="K1912" s="1">
        <v>0</v>
      </c>
      <c r="L1912" s="1">
        <v>2</v>
      </c>
      <c r="M1912" s="1">
        <v>2</v>
      </c>
      <c r="N1912" s="1">
        <v>1</v>
      </c>
      <c r="O1912" s="1">
        <v>0</v>
      </c>
      <c r="P1912" s="1">
        <v>0</v>
      </c>
      <c r="Q1912" s="1">
        <v>0</v>
      </c>
      <c r="R1912" s="1">
        <v>0</v>
      </c>
      <c r="S1912" s="1">
        <v>1</v>
      </c>
      <c r="T1912" s="1">
        <v>1</v>
      </c>
      <c r="U1912" s="1">
        <v>0</v>
      </c>
      <c r="V1912" s="1">
        <v>2</v>
      </c>
    </row>
    <row r="1913" spans="1:22" x14ac:dyDescent="0.2">
      <c r="A1913" s="1" t="s">
        <v>1629</v>
      </c>
      <c r="B1913" s="1" t="s">
        <v>1920</v>
      </c>
      <c r="C1913" s="1">
        <v>0</v>
      </c>
      <c r="D1913" s="1">
        <v>0</v>
      </c>
      <c r="E1913" s="1">
        <v>0</v>
      </c>
      <c r="F1913" s="1">
        <v>0</v>
      </c>
      <c r="G1913" s="1">
        <v>0</v>
      </c>
      <c r="H1913" s="1">
        <v>0</v>
      </c>
      <c r="I1913" s="1">
        <v>0</v>
      </c>
      <c r="J1913" s="1">
        <v>0</v>
      </c>
      <c r="K1913" s="1">
        <v>0</v>
      </c>
      <c r="L1913" s="1">
        <v>0</v>
      </c>
      <c r="M1913" s="1">
        <v>0</v>
      </c>
      <c r="N1913" s="1">
        <v>0</v>
      </c>
      <c r="O1913" s="1">
        <v>0</v>
      </c>
      <c r="P1913" s="1">
        <v>0</v>
      </c>
      <c r="Q1913" s="1">
        <v>0</v>
      </c>
      <c r="R1913" s="1">
        <v>0</v>
      </c>
      <c r="S1913" s="1">
        <v>2</v>
      </c>
      <c r="T1913" s="1">
        <v>0</v>
      </c>
      <c r="U1913" s="1">
        <v>0</v>
      </c>
      <c r="V1913" s="1">
        <v>0</v>
      </c>
    </row>
    <row r="1914" spans="1:22" x14ac:dyDescent="0.2">
      <c r="A1914" s="1" t="s">
        <v>1629</v>
      </c>
      <c r="B1914" s="1" t="s">
        <v>1921</v>
      </c>
      <c r="C1914" s="1">
        <v>0</v>
      </c>
      <c r="D1914" s="1">
        <v>0</v>
      </c>
      <c r="E1914" s="1">
        <v>0</v>
      </c>
      <c r="F1914" s="1">
        <v>0</v>
      </c>
      <c r="G1914" s="1">
        <v>0</v>
      </c>
      <c r="H1914" s="1">
        <v>0</v>
      </c>
      <c r="I1914" s="1">
        <v>0</v>
      </c>
      <c r="J1914" s="1">
        <v>0</v>
      </c>
      <c r="K1914" s="1">
        <v>0</v>
      </c>
      <c r="L1914" s="1">
        <v>0</v>
      </c>
      <c r="M1914" s="1">
        <v>0</v>
      </c>
      <c r="N1914" s="1">
        <v>0</v>
      </c>
      <c r="O1914" s="1">
        <v>1</v>
      </c>
      <c r="P1914" s="1">
        <v>1</v>
      </c>
      <c r="Q1914" s="1">
        <v>0</v>
      </c>
      <c r="R1914" s="1">
        <v>0</v>
      </c>
      <c r="S1914" s="1">
        <v>0</v>
      </c>
      <c r="T1914" s="1">
        <v>0</v>
      </c>
      <c r="U1914" s="1">
        <v>0</v>
      </c>
      <c r="V1914" s="1">
        <v>0</v>
      </c>
    </row>
    <row r="1915" spans="1:22" x14ac:dyDescent="0.2">
      <c r="A1915" s="1" t="s">
        <v>1629</v>
      </c>
      <c r="B1915" s="1" t="s">
        <v>1922</v>
      </c>
      <c r="C1915" s="1">
        <v>0</v>
      </c>
      <c r="D1915" s="1">
        <v>0</v>
      </c>
      <c r="E1915" s="1">
        <v>0</v>
      </c>
      <c r="F1915" s="1">
        <v>0</v>
      </c>
      <c r="G1915" s="1">
        <v>0</v>
      </c>
      <c r="H1915" s="1">
        <v>0</v>
      </c>
      <c r="I1915" s="1">
        <v>0</v>
      </c>
      <c r="J1915" s="1">
        <v>0</v>
      </c>
      <c r="K1915" s="1">
        <v>0</v>
      </c>
      <c r="L1915" s="1">
        <v>0</v>
      </c>
      <c r="M1915" s="1">
        <v>0</v>
      </c>
      <c r="N1915" s="1">
        <v>0</v>
      </c>
      <c r="O1915" s="1">
        <v>1</v>
      </c>
      <c r="P1915" s="1">
        <v>0</v>
      </c>
      <c r="Q1915" s="1">
        <v>0</v>
      </c>
      <c r="R1915" s="1">
        <v>0</v>
      </c>
      <c r="S1915" s="1">
        <v>0</v>
      </c>
      <c r="T1915" s="1">
        <v>0</v>
      </c>
      <c r="U1915" s="1">
        <v>0</v>
      </c>
      <c r="V1915" s="1">
        <v>0</v>
      </c>
    </row>
    <row r="1916" spans="1:22" x14ac:dyDescent="0.2">
      <c r="A1916" s="1" t="s">
        <v>1629</v>
      </c>
      <c r="B1916" s="1" t="s">
        <v>1923</v>
      </c>
      <c r="C1916" s="1">
        <v>0</v>
      </c>
      <c r="D1916" s="1">
        <v>0</v>
      </c>
      <c r="E1916" s="1">
        <v>0</v>
      </c>
      <c r="F1916" s="1">
        <v>0</v>
      </c>
      <c r="G1916" s="1">
        <v>0</v>
      </c>
      <c r="H1916" s="1">
        <v>0</v>
      </c>
      <c r="I1916" s="1">
        <v>0</v>
      </c>
      <c r="J1916" s="1">
        <v>0</v>
      </c>
      <c r="K1916" s="1">
        <v>0</v>
      </c>
      <c r="L1916" s="1">
        <v>0</v>
      </c>
      <c r="M1916" s="1">
        <v>0</v>
      </c>
      <c r="N1916" s="1">
        <v>0</v>
      </c>
      <c r="O1916" s="1">
        <v>0</v>
      </c>
      <c r="P1916" s="1">
        <v>0</v>
      </c>
      <c r="Q1916" s="1">
        <v>1</v>
      </c>
      <c r="R1916" s="1">
        <v>3</v>
      </c>
      <c r="S1916" s="1">
        <v>0</v>
      </c>
      <c r="T1916" s="1">
        <v>0</v>
      </c>
      <c r="U1916" s="1">
        <v>0</v>
      </c>
      <c r="V1916" s="1">
        <v>0</v>
      </c>
    </row>
    <row r="1917" spans="1:22" x14ac:dyDescent="0.2">
      <c r="A1917" s="1" t="s">
        <v>1629</v>
      </c>
      <c r="B1917" s="1" t="s">
        <v>1924</v>
      </c>
      <c r="C1917" s="1">
        <v>0</v>
      </c>
      <c r="D1917" s="1">
        <v>0</v>
      </c>
      <c r="E1917" s="1">
        <v>0</v>
      </c>
      <c r="F1917" s="1">
        <v>0</v>
      </c>
      <c r="G1917" s="1">
        <v>0</v>
      </c>
      <c r="H1917" s="1">
        <v>1</v>
      </c>
      <c r="I1917" s="1">
        <v>0</v>
      </c>
      <c r="J1917" s="1">
        <v>0</v>
      </c>
      <c r="K1917" s="1">
        <v>1</v>
      </c>
      <c r="L1917" s="1">
        <v>1</v>
      </c>
      <c r="M1917" s="1">
        <v>2</v>
      </c>
      <c r="N1917" s="1">
        <v>1</v>
      </c>
      <c r="O1917" s="1">
        <v>2</v>
      </c>
      <c r="P1917" s="1">
        <v>0</v>
      </c>
      <c r="Q1917" s="1">
        <v>0</v>
      </c>
      <c r="R1917" s="1">
        <v>0</v>
      </c>
      <c r="S1917" s="1">
        <v>0</v>
      </c>
      <c r="T1917" s="1">
        <v>0</v>
      </c>
      <c r="U1917" s="1">
        <v>0</v>
      </c>
      <c r="V1917" s="1">
        <v>0</v>
      </c>
    </row>
    <row r="1918" spans="1:22" x14ac:dyDescent="0.2">
      <c r="A1918" s="1" t="s">
        <v>1629</v>
      </c>
      <c r="B1918" s="1" t="s">
        <v>1925</v>
      </c>
      <c r="C1918" s="1">
        <f t="shared" ref="C1918:K1918" si="297">SUM(C1919:C1932)</f>
        <v>4705</v>
      </c>
      <c r="D1918" s="1">
        <f t="shared" si="297"/>
        <v>3647</v>
      </c>
      <c r="E1918" s="1">
        <f t="shared" si="297"/>
        <v>3931</v>
      </c>
      <c r="F1918" s="1">
        <f t="shared" si="297"/>
        <v>5683</v>
      </c>
      <c r="G1918" s="1">
        <f t="shared" si="297"/>
        <v>8735</v>
      </c>
      <c r="H1918" s="1">
        <f t="shared" si="297"/>
        <v>5085</v>
      </c>
      <c r="I1918" s="1">
        <f t="shared" si="297"/>
        <v>5521</v>
      </c>
      <c r="J1918" s="1">
        <f t="shared" si="297"/>
        <v>4001</v>
      </c>
      <c r="K1918" s="1">
        <f t="shared" si="297"/>
        <v>4462</v>
      </c>
      <c r="L1918" s="1">
        <f>SUM(L1919:L1932)</f>
        <v>4649</v>
      </c>
      <c r="M1918" s="1">
        <f>SUM(M1919:M1932)</f>
        <v>4228</v>
      </c>
      <c r="N1918" s="1">
        <f>SUM(N1919:N1932)</f>
        <v>4112</v>
      </c>
      <c r="O1918" s="1">
        <f t="shared" ref="O1918:V1918" si="298">SUM(O1919:O1932)</f>
        <v>3843</v>
      </c>
      <c r="P1918" s="1">
        <f t="shared" si="298"/>
        <v>4199</v>
      </c>
      <c r="Q1918" s="1">
        <f t="shared" si="298"/>
        <v>4588</v>
      </c>
      <c r="R1918" s="1">
        <f t="shared" si="298"/>
        <v>4017</v>
      </c>
      <c r="S1918" s="1">
        <f t="shared" si="298"/>
        <v>3866</v>
      </c>
      <c r="T1918" s="1">
        <f t="shared" si="298"/>
        <v>2991</v>
      </c>
      <c r="U1918" s="1">
        <f t="shared" si="298"/>
        <v>3191</v>
      </c>
      <c r="V1918" s="1">
        <f t="shared" si="298"/>
        <v>4244</v>
      </c>
    </row>
    <row r="1919" spans="1:22" x14ac:dyDescent="0.2">
      <c r="A1919" s="1" t="s">
        <v>1629</v>
      </c>
      <c r="B1919" s="1" t="s">
        <v>1926</v>
      </c>
      <c r="C1919" s="1">
        <v>385</v>
      </c>
      <c r="D1919" s="1">
        <v>590</v>
      </c>
      <c r="E1919" s="1">
        <v>750</v>
      </c>
      <c r="F1919" s="1">
        <v>1354</v>
      </c>
      <c r="G1919" s="1">
        <v>3947</v>
      </c>
      <c r="H1919" s="1">
        <v>1538</v>
      </c>
      <c r="I1919" s="1">
        <v>1997</v>
      </c>
      <c r="J1919" s="1">
        <v>536</v>
      </c>
      <c r="K1919" s="1">
        <v>296</v>
      </c>
      <c r="L1919" s="1">
        <v>257</v>
      </c>
      <c r="M1919" s="1">
        <v>283</v>
      </c>
      <c r="N1919" s="1">
        <v>327</v>
      </c>
      <c r="O1919" s="1">
        <v>360</v>
      </c>
      <c r="P1919" s="1">
        <v>325</v>
      </c>
      <c r="Q1919" s="1">
        <v>351</v>
      </c>
      <c r="R1919" s="1">
        <v>356</v>
      </c>
      <c r="S1919" s="1">
        <v>273</v>
      </c>
      <c r="T1919" s="1">
        <v>211</v>
      </c>
      <c r="U1919" s="1">
        <v>181</v>
      </c>
      <c r="V1919" s="1">
        <v>281</v>
      </c>
    </row>
    <row r="1920" spans="1:22" x14ac:dyDescent="0.2">
      <c r="A1920" s="1" t="s">
        <v>1629</v>
      </c>
      <c r="B1920" s="1" t="s">
        <v>1927</v>
      </c>
      <c r="C1920" s="1">
        <v>0</v>
      </c>
      <c r="D1920" s="1">
        <v>0</v>
      </c>
      <c r="E1920" s="1">
        <v>0</v>
      </c>
      <c r="F1920" s="1">
        <v>0</v>
      </c>
      <c r="G1920" s="1">
        <v>0</v>
      </c>
      <c r="H1920" s="1">
        <v>3</v>
      </c>
      <c r="I1920" s="1">
        <v>2</v>
      </c>
      <c r="J1920" s="1">
        <v>1</v>
      </c>
      <c r="K1920" s="1">
        <v>0</v>
      </c>
      <c r="L1920" s="1">
        <v>0</v>
      </c>
      <c r="M1920" s="1">
        <v>0</v>
      </c>
      <c r="N1920" s="1">
        <v>0</v>
      </c>
      <c r="O1920" s="1">
        <v>0</v>
      </c>
      <c r="P1920" s="1">
        <v>1</v>
      </c>
      <c r="Q1920" s="1">
        <v>0</v>
      </c>
      <c r="R1920" s="1">
        <v>0</v>
      </c>
      <c r="S1920" s="1">
        <v>0</v>
      </c>
      <c r="T1920" s="1">
        <v>1</v>
      </c>
      <c r="U1920" s="1">
        <v>1</v>
      </c>
      <c r="V1920" s="1">
        <v>0</v>
      </c>
    </row>
    <row r="1921" spans="1:22" x14ac:dyDescent="0.2">
      <c r="A1921" s="1" t="s">
        <v>1629</v>
      </c>
      <c r="B1921" s="1" t="s">
        <v>1928</v>
      </c>
      <c r="C1921" s="1">
        <v>347</v>
      </c>
      <c r="D1921" s="1">
        <v>449</v>
      </c>
      <c r="E1921" s="1">
        <v>424</v>
      </c>
      <c r="F1921" s="1">
        <v>473</v>
      </c>
      <c r="G1921" s="1">
        <v>609</v>
      </c>
      <c r="H1921" s="1">
        <v>578</v>
      </c>
      <c r="I1921" s="1">
        <v>658</v>
      </c>
      <c r="J1921" s="1">
        <v>859</v>
      </c>
      <c r="K1921" s="1">
        <v>760</v>
      </c>
      <c r="L1921" s="1">
        <v>880</v>
      </c>
      <c r="M1921" s="1">
        <v>959</v>
      </c>
      <c r="N1921" s="1">
        <v>989</v>
      </c>
      <c r="O1921" s="1">
        <v>799</v>
      </c>
      <c r="P1921" s="1">
        <v>1617</v>
      </c>
      <c r="Q1921" s="1">
        <v>1550</v>
      </c>
      <c r="R1921" s="1">
        <v>1549</v>
      </c>
      <c r="S1921" s="1">
        <v>1794</v>
      </c>
      <c r="T1921" s="1">
        <v>1368</v>
      </c>
      <c r="U1921" s="1">
        <v>1547</v>
      </c>
      <c r="V1921" s="1">
        <v>2323</v>
      </c>
    </row>
    <row r="1922" spans="1:22" x14ac:dyDescent="0.2">
      <c r="A1922" s="1" t="s">
        <v>1629</v>
      </c>
      <c r="B1922" s="1" t="s">
        <v>1929</v>
      </c>
      <c r="C1922" s="1">
        <v>0</v>
      </c>
      <c r="D1922" s="1">
        <v>0</v>
      </c>
      <c r="E1922" s="1">
        <v>0</v>
      </c>
      <c r="F1922" s="1">
        <v>0</v>
      </c>
      <c r="G1922" s="1">
        <v>0</v>
      </c>
      <c r="H1922" s="1">
        <v>0</v>
      </c>
      <c r="I1922" s="1">
        <v>0</v>
      </c>
      <c r="J1922" s="1">
        <v>3</v>
      </c>
      <c r="K1922" s="1">
        <v>2</v>
      </c>
      <c r="L1922" s="1">
        <v>40</v>
      </c>
      <c r="M1922" s="1">
        <v>0</v>
      </c>
      <c r="N1922" s="1">
        <v>1</v>
      </c>
      <c r="O1922" s="1">
        <v>2</v>
      </c>
      <c r="P1922" s="1">
        <v>1</v>
      </c>
      <c r="Q1922" s="1">
        <v>1</v>
      </c>
      <c r="R1922" s="1">
        <v>0</v>
      </c>
      <c r="S1922" s="1">
        <v>2</v>
      </c>
      <c r="T1922" s="1">
        <v>0</v>
      </c>
      <c r="U1922" s="1">
        <v>1</v>
      </c>
      <c r="V1922" s="1">
        <v>2</v>
      </c>
    </row>
    <row r="1923" spans="1:22" x14ac:dyDescent="0.2">
      <c r="A1923" s="1" t="s">
        <v>1629</v>
      </c>
      <c r="B1923" s="1" t="s">
        <v>1930</v>
      </c>
      <c r="C1923" s="1">
        <v>885</v>
      </c>
      <c r="D1923" s="1">
        <v>671</v>
      </c>
      <c r="E1923" s="1">
        <v>643</v>
      </c>
      <c r="F1923" s="1">
        <v>650</v>
      </c>
      <c r="G1923" s="1">
        <v>731</v>
      </c>
      <c r="H1923" s="1">
        <v>631</v>
      </c>
      <c r="I1923" s="1">
        <v>714</v>
      </c>
      <c r="J1923" s="1">
        <v>448</v>
      </c>
      <c r="K1923" s="1">
        <v>319</v>
      </c>
      <c r="L1923" s="1">
        <v>231</v>
      </c>
      <c r="M1923" s="1">
        <v>453</v>
      </c>
      <c r="N1923" s="1">
        <v>210</v>
      </c>
      <c r="O1923" s="1">
        <v>56</v>
      </c>
      <c r="P1923" s="1">
        <v>220</v>
      </c>
      <c r="Q1923" s="1">
        <v>160</v>
      </c>
      <c r="R1923" s="1">
        <v>45</v>
      </c>
      <c r="S1923" s="1">
        <v>66</v>
      </c>
      <c r="T1923" s="1">
        <v>97</v>
      </c>
      <c r="U1923" s="1">
        <v>97</v>
      </c>
      <c r="V1923" s="1">
        <v>80</v>
      </c>
    </row>
    <row r="1924" spans="1:22" x14ac:dyDescent="0.2">
      <c r="A1924" s="1" t="s">
        <v>1629</v>
      </c>
      <c r="B1924" s="1" t="s">
        <v>1931</v>
      </c>
      <c r="C1924" s="1">
        <v>63</v>
      </c>
      <c r="D1924" s="1">
        <v>37</v>
      </c>
      <c r="E1924" s="1">
        <v>41</v>
      </c>
      <c r="F1924" s="1">
        <v>67</v>
      </c>
      <c r="G1924" s="1">
        <v>54</v>
      </c>
      <c r="H1924" s="1">
        <v>208</v>
      </c>
      <c r="I1924" s="1">
        <v>268</v>
      </c>
      <c r="J1924" s="1">
        <v>324</v>
      </c>
      <c r="K1924" s="1">
        <v>407</v>
      </c>
      <c r="L1924" s="1">
        <v>712</v>
      </c>
      <c r="M1924" s="1">
        <v>497</v>
      </c>
      <c r="N1924" s="1">
        <v>588</v>
      </c>
      <c r="O1924" s="1">
        <v>518</v>
      </c>
      <c r="P1924" s="1">
        <v>448</v>
      </c>
      <c r="Q1924" s="1">
        <v>829</v>
      </c>
      <c r="R1924" s="1">
        <v>399</v>
      </c>
      <c r="S1924" s="1">
        <v>260</v>
      </c>
      <c r="T1924" s="1">
        <v>100</v>
      </c>
      <c r="U1924" s="1">
        <v>77</v>
      </c>
      <c r="V1924" s="1">
        <v>82</v>
      </c>
    </row>
    <row r="1925" spans="1:22" x14ac:dyDescent="0.2">
      <c r="A1925" s="1" t="s">
        <v>1629</v>
      </c>
      <c r="B1925" s="1" t="s">
        <v>1932</v>
      </c>
      <c r="C1925" s="1">
        <v>61</v>
      </c>
      <c r="D1925" s="1">
        <v>46</v>
      </c>
      <c r="E1925" s="1">
        <v>59</v>
      </c>
      <c r="F1925" s="1">
        <v>44</v>
      </c>
      <c r="G1925" s="1">
        <v>30</v>
      </c>
      <c r="H1925" s="1">
        <v>25</v>
      </c>
      <c r="I1925" s="1">
        <v>12</v>
      </c>
      <c r="J1925" s="1">
        <v>12</v>
      </c>
      <c r="K1925" s="1">
        <v>12</v>
      </c>
      <c r="L1925" s="1">
        <v>27</v>
      </c>
      <c r="M1925" s="1">
        <v>43</v>
      </c>
      <c r="N1925" s="1">
        <v>44</v>
      </c>
      <c r="O1925" s="1">
        <v>51</v>
      </c>
      <c r="P1925" s="1">
        <v>30</v>
      </c>
      <c r="Q1925" s="1">
        <v>45</v>
      </c>
      <c r="R1925" s="1">
        <v>43</v>
      </c>
      <c r="S1925" s="1">
        <v>46</v>
      </c>
      <c r="T1925" s="1">
        <v>49</v>
      </c>
      <c r="U1925" s="1">
        <v>41</v>
      </c>
      <c r="V1925" s="1">
        <v>29</v>
      </c>
    </row>
    <row r="1926" spans="1:22" x14ac:dyDescent="0.2">
      <c r="A1926" s="1" t="s">
        <v>1629</v>
      </c>
      <c r="B1926" s="1" t="s">
        <v>1933</v>
      </c>
      <c r="C1926" s="1">
        <v>11</v>
      </c>
      <c r="D1926" s="1">
        <v>8</v>
      </c>
      <c r="E1926" s="1">
        <v>45</v>
      </c>
      <c r="F1926" s="1">
        <v>27</v>
      </c>
      <c r="G1926" s="1">
        <v>23</v>
      </c>
      <c r="H1926" s="1">
        <v>7</v>
      </c>
      <c r="I1926" s="1">
        <v>11</v>
      </c>
      <c r="J1926" s="1">
        <v>10</v>
      </c>
      <c r="K1926" s="1">
        <v>10</v>
      </c>
      <c r="L1926" s="1">
        <v>14</v>
      </c>
      <c r="M1926" s="1">
        <v>3</v>
      </c>
      <c r="N1926" s="1">
        <v>3</v>
      </c>
      <c r="O1926" s="1">
        <v>4</v>
      </c>
      <c r="P1926" s="1">
        <v>7</v>
      </c>
      <c r="Q1926" s="1">
        <v>5</v>
      </c>
      <c r="R1926" s="1">
        <v>3</v>
      </c>
      <c r="S1926" s="1">
        <v>2</v>
      </c>
      <c r="T1926" s="1">
        <v>3</v>
      </c>
      <c r="U1926" s="1">
        <v>5</v>
      </c>
      <c r="V1926" s="1">
        <v>14</v>
      </c>
    </row>
    <row r="1927" spans="1:22" x14ac:dyDescent="0.2">
      <c r="A1927" s="1" t="s">
        <v>1629</v>
      </c>
      <c r="B1927" s="1" t="s">
        <v>1934</v>
      </c>
      <c r="C1927" s="1">
        <v>632</v>
      </c>
      <c r="D1927" s="1">
        <v>539</v>
      </c>
      <c r="E1927" s="1">
        <v>753</v>
      </c>
      <c r="F1927" s="1">
        <v>1532</v>
      </c>
      <c r="G1927" s="1">
        <v>1191</v>
      </c>
      <c r="H1927" s="1">
        <v>693</v>
      </c>
      <c r="I1927" s="1">
        <v>485</v>
      </c>
      <c r="J1927" s="1">
        <v>516</v>
      </c>
      <c r="K1927" s="1">
        <v>900</v>
      </c>
      <c r="L1927" s="1">
        <v>973</v>
      </c>
      <c r="M1927" s="1">
        <v>912</v>
      </c>
      <c r="N1927" s="1">
        <v>947</v>
      </c>
      <c r="O1927" s="1">
        <v>1042</v>
      </c>
      <c r="P1927" s="1">
        <v>805</v>
      </c>
      <c r="Q1927" s="1">
        <v>909</v>
      </c>
      <c r="R1927" s="1">
        <v>912</v>
      </c>
      <c r="S1927" s="1">
        <v>685</v>
      </c>
      <c r="T1927" s="1">
        <v>527</v>
      </c>
      <c r="U1927" s="1">
        <v>621</v>
      </c>
      <c r="V1927" s="1">
        <v>854</v>
      </c>
    </row>
    <row r="1928" spans="1:22" x14ac:dyDescent="0.2">
      <c r="A1928" s="1" t="s">
        <v>1629</v>
      </c>
      <c r="B1928" s="1" t="s">
        <v>1935</v>
      </c>
      <c r="C1928" s="1">
        <v>0</v>
      </c>
      <c r="D1928" s="1">
        <v>0</v>
      </c>
      <c r="E1928" s="1">
        <v>0</v>
      </c>
      <c r="F1928" s="1">
        <v>0</v>
      </c>
      <c r="G1928" s="1">
        <v>0</v>
      </c>
      <c r="H1928" s="1">
        <v>0</v>
      </c>
      <c r="I1928" s="1">
        <v>0</v>
      </c>
      <c r="J1928" s="1">
        <v>1</v>
      </c>
      <c r="K1928" s="1">
        <v>1</v>
      </c>
      <c r="L1928" s="1">
        <v>0</v>
      </c>
      <c r="M1928" s="1">
        <v>0</v>
      </c>
      <c r="N1928" s="1">
        <v>0</v>
      </c>
      <c r="V1928" s="1">
        <v>0</v>
      </c>
    </row>
    <row r="1929" spans="1:22" x14ac:dyDescent="0.2">
      <c r="A1929" s="1" t="s">
        <v>1629</v>
      </c>
      <c r="B1929" s="1" t="s">
        <v>1936</v>
      </c>
      <c r="C1929" s="1">
        <v>19</v>
      </c>
      <c r="D1929" s="1">
        <v>22</v>
      </c>
      <c r="E1929" s="1">
        <v>20</v>
      </c>
      <c r="F1929" s="1">
        <v>16</v>
      </c>
      <c r="G1929" s="1">
        <v>4</v>
      </c>
      <c r="H1929" s="1">
        <v>15</v>
      </c>
      <c r="I1929" s="1">
        <v>29</v>
      </c>
      <c r="J1929" s="1">
        <v>22</v>
      </c>
      <c r="K1929" s="1">
        <v>17</v>
      </c>
      <c r="L1929" s="1">
        <v>17</v>
      </c>
      <c r="M1929" s="1">
        <v>13</v>
      </c>
      <c r="N1929" s="1">
        <v>7</v>
      </c>
      <c r="O1929" s="1">
        <v>15</v>
      </c>
      <c r="P1929" s="1">
        <v>9</v>
      </c>
      <c r="Q1929" s="1">
        <v>16</v>
      </c>
      <c r="R1929" s="1">
        <v>7</v>
      </c>
      <c r="S1929" s="1">
        <v>8</v>
      </c>
      <c r="T1929" s="1">
        <v>5</v>
      </c>
      <c r="U1929" s="1">
        <v>9</v>
      </c>
      <c r="V1929" s="1">
        <v>9</v>
      </c>
    </row>
    <row r="1930" spans="1:22" x14ac:dyDescent="0.2">
      <c r="A1930" s="1" t="s">
        <v>1629</v>
      </c>
      <c r="B1930" s="1" t="s">
        <v>1937</v>
      </c>
      <c r="C1930" s="1">
        <v>0</v>
      </c>
      <c r="D1930" s="1">
        <v>0</v>
      </c>
      <c r="E1930" s="1">
        <v>0</v>
      </c>
      <c r="F1930" s="1">
        <v>0</v>
      </c>
      <c r="G1930" s="1">
        <v>1</v>
      </c>
      <c r="H1930" s="1">
        <v>2</v>
      </c>
      <c r="I1930" s="1">
        <v>0</v>
      </c>
      <c r="J1930" s="1">
        <v>0</v>
      </c>
      <c r="K1930" s="1">
        <v>3</v>
      </c>
      <c r="L1930" s="1">
        <v>2</v>
      </c>
      <c r="M1930" s="1">
        <v>2</v>
      </c>
      <c r="N1930" s="1">
        <v>2</v>
      </c>
      <c r="O1930" s="1">
        <v>0</v>
      </c>
      <c r="P1930" s="1">
        <v>1</v>
      </c>
      <c r="Q1930" s="1">
        <v>1</v>
      </c>
      <c r="R1930" s="1">
        <v>0</v>
      </c>
      <c r="S1930" s="1">
        <v>0</v>
      </c>
      <c r="T1930" s="1">
        <v>0</v>
      </c>
      <c r="U1930" s="1">
        <v>0</v>
      </c>
      <c r="V1930" s="1">
        <v>0</v>
      </c>
    </row>
    <row r="1931" spans="1:22" x14ac:dyDescent="0.2">
      <c r="A1931" s="1" t="s">
        <v>1629</v>
      </c>
      <c r="B1931" s="1" t="s">
        <v>1938</v>
      </c>
      <c r="C1931" s="1">
        <v>0</v>
      </c>
      <c r="D1931" s="1">
        <v>0</v>
      </c>
      <c r="E1931" s="1">
        <v>0</v>
      </c>
      <c r="F1931" s="1">
        <v>0</v>
      </c>
      <c r="G1931" s="1">
        <v>0</v>
      </c>
      <c r="H1931" s="1">
        <v>0</v>
      </c>
      <c r="I1931" s="1">
        <v>5</v>
      </c>
      <c r="J1931" s="1">
        <v>6</v>
      </c>
      <c r="K1931" s="1">
        <v>8</v>
      </c>
      <c r="L1931" s="1">
        <v>6</v>
      </c>
      <c r="M1931" s="1">
        <v>6</v>
      </c>
      <c r="N1931" s="1">
        <v>1</v>
      </c>
      <c r="O1931" s="1">
        <v>6</v>
      </c>
      <c r="P1931" s="1">
        <v>5</v>
      </c>
      <c r="Q1931" s="1">
        <v>8</v>
      </c>
      <c r="R1931" s="1">
        <v>5</v>
      </c>
      <c r="S1931" s="1">
        <v>5</v>
      </c>
      <c r="T1931" s="1">
        <v>0</v>
      </c>
      <c r="U1931" s="1">
        <v>0</v>
      </c>
      <c r="V1931" s="1">
        <v>0</v>
      </c>
    </row>
    <row r="1932" spans="1:22" x14ac:dyDescent="0.2">
      <c r="A1932" s="1" t="s">
        <v>1629</v>
      </c>
      <c r="B1932" s="1" t="s">
        <v>1939</v>
      </c>
      <c r="C1932" s="1">
        <v>2302</v>
      </c>
      <c r="D1932" s="1">
        <v>1285</v>
      </c>
      <c r="E1932" s="1">
        <v>1196</v>
      </c>
      <c r="F1932" s="1">
        <v>1520</v>
      </c>
      <c r="G1932" s="1">
        <v>2145</v>
      </c>
      <c r="H1932" s="1">
        <v>1385</v>
      </c>
      <c r="I1932" s="1">
        <v>1340</v>
      </c>
      <c r="J1932" s="1">
        <v>1263</v>
      </c>
      <c r="K1932" s="1">
        <v>1727</v>
      </c>
      <c r="L1932" s="1">
        <v>1490</v>
      </c>
      <c r="M1932" s="1">
        <v>1057</v>
      </c>
      <c r="N1932" s="1">
        <v>993</v>
      </c>
      <c r="O1932" s="1">
        <v>990</v>
      </c>
      <c r="P1932" s="1">
        <v>730</v>
      </c>
      <c r="Q1932" s="1">
        <v>713</v>
      </c>
      <c r="R1932" s="1">
        <v>698</v>
      </c>
      <c r="S1932" s="1">
        <v>725</v>
      </c>
      <c r="T1932" s="1">
        <v>630</v>
      </c>
      <c r="U1932" s="1">
        <v>611</v>
      </c>
      <c r="V1932" s="1">
        <v>570</v>
      </c>
    </row>
    <row r="1933" spans="1:22" x14ac:dyDescent="0.2">
      <c r="A1933" s="1" t="s">
        <v>1629</v>
      </c>
      <c r="B1933" s="1" t="s">
        <v>1940</v>
      </c>
      <c r="C1933" s="1">
        <f>SUM(C1934:C1938)</f>
        <v>0</v>
      </c>
      <c r="D1933" s="1">
        <f t="shared" ref="D1933:V1933" si="299">SUM(D1934:D1938)</f>
        <v>0</v>
      </c>
      <c r="E1933" s="1">
        <f t="shared" si="299"/>
        <v>0</v>
      </c>
      <c r="F1933" s="1">
        <f t="shared" si="299"/>
        <v>0</v>
      </c>
      <c r="G1933" s="1">
        <f t="shared" si="299"/>
        <v>0</v>
      </c>
      <c r="H1933" s="1">
        <f t="shared" si="299"/>
        <v>0</v>
      </c>
      <c r="I1933" s="1">
        <f t="shared" si="299"/>
        <v>0</v>
      </c>
      <c r="J1933" s="1">
        <f t="shared" si="299"/>
        <v>0</v>
      </c>
      <c r="K1933" s="1">
        <f t="shared" si="299"/>
        <v>0</v>
      </c>
      <c r="L1933" s="1">
        <f t="shared" si="299"/>
        <v>0</v>
      </c>
      <c r="M1933" s="1">
        <f t="shared" si="299"/>
        <v>0</v>
      </c>
      <c r="N1933" s="1">
        <f t="shared" si="299"/>
        <v>0</v>
      </c>
      <c r="O1933" s="1">
        <f t="shared" si="299"/>
        <v>0</v>
      </c>
      <c r="P1933" s="1">
        <f t="shared" si="299"/>
        <v>0</v>
      </c>
      <c r="Q1933" s="1">
        <f t="shared" si="299"/>
        <v>0</v>
      </c>
      <c r="R1933" s="1">
        <f t="shared" si="299"/>
        <v>0</v>
      </c>
      <c r="S1933" s="1">
        <f t="shared" si="299"/>
        <v>0</v>
      </c>
      <c r="T1933" s="1">
        <f t="shared" si="299"/>
        <v>59</v>
      </c>
      <c r="U1933" s="1">
        <f t="shared" si="299"/>
        <v>124</v>
      </c>
      <c r="V1933" s="1">
        <f t="shared" si="299"/>
        <v>314</v>
      </c>
    </row>
    <row r="1934" spans="1:22" x14ac:dyDescent="0.2">
      <c r="A1934" s="1" t="s">
        <v>1629</v>
      </c>
      <c r="B1934" s="1" t="s">
        <v>1941</v>
      </c>
      <c r="C1934" s="1">
        <v>0</v>
      </c>
      <c r="D1934" s="1">
        <v>0</v>
      </c>
      <c r="E1934" s="1">
        <v>0</v>
      </c>
      <c r="F1934" s="1">
        <v>0</v>
      </c>
      <c r="G1934" s="1">
        <v>0</v>
      </c>
      <c r="H1934" s="1">
        <v>0</v>
      </c>
      <c r="I1934" s="1">
        <v>0</v>
      </c>
      <c r="J1934" s="1">
        <v>0</v>
      </c>
      <c r="K1934" s="1">
        <v>0</v>
      </c>
      <c r="L1934" s="1">
        <v>0</v>
      </c>
      <c r="M1934" s="1">
        <v>0</v>
      </c>
      <c r="N1934" s="1">
        <v>0</v>
      </c>
      <c r="O1934" s="1">
        <v>0</v>
      </c>
      <c r="P1934" s="1">
        <v>0</v>
      </c>
      <c r="Q1934" s="1">
        <v>0</v>
      </c>
      <c r="R1934" s="1">
        <v>0</v>
      </c>
      <c r="S1934" s="1">
        <v>0</v>
      </c>
      <c r="T1934" s="1">
        <v>24</v>
      </c>
      <c r="U1934" s="1">
        <v>59</v>
      </c>
      <c r="V1934" s="1">
        <v>80</v>
      </c>
    </row>
    <row r="1935" spans="1:22" x14ac:dyDescent="0.2">
      <c r="A1935" s="1" t="s">
        <v>1629</v>
      </c>
      <c r="B1935" s="1" t="s">
        <v>1942</v>
      </c>
      <c r="C1935" s="1">
        <v>0</v>
      </c>
      <c r="D1935" s="1">
        <v>0</v>
      </c>
      <c r="E1935" s="1">
        <v>0</v>
      </c>
      <c r="F1935" s="1">
        <v>0</v>
      </c>
      <c r="G1935" s="1">
        <v>0</v>
      </c>
      <c r="H1935" s="1">
        <v>0</v>
      </c>
      <c r="I1935" s="1">
        <v>0</v>
      </c>
      <c r="J1935" s="1">
        <v>0</v>
      </c>
      <c r="K1935" s="1">
        <v>0</v>
      </c>
      <c r="L1935" s="1">
        <v>0</v>
      </c>
      <c r="M1935" s="1">
        <v>0</v>
      </c>
      <c r="N1935" s="1">
        <v>0</v>
      </c>
      <c r="V1935" s="1">
        <v>121</v>
      </c>
    </row>
    <row r="1936" spans="1:22" x14ac:dyDescent="0.2">
      <c r="A1936" s="1" t="s">
        <v>1629</v>
      </c>
      <c r="B1936" s="1" t="s">
        <v>1943</v>
      </c>
      <c r="C1936" s="1">
        <v>0</v>
      </c>
      <c r="D1936" s="1">
        <v>0</v>
      </c>
      <c r="E1936" s="1">
        <v>0</v>
      </c>
      <c r="F1936" s="1">
        <v>0</v>
      </c>
      <c r="G1936" s="1">
        <v>0</v>
      </c>
      <c r="H1936" s="1">
        <v>0</v>
      </c>
      <c r="I1936" s="1">
        <v>0</v>
      </c>
      <c r="J1936" s="1">
        <v>0</v>
      </c>
      <c r="K1936" s="1">
        <v>0</v>
      </c>
      <c r="L1936" s="1">
        <v>0</v>
      </c>
      <c r="M1936" s="1">
        <v>0</v>
      </c>
      <c r="N1936" s="1">
        <v>0</v>
      </c>
      <c r="O1936" s="1">
        <v>0</v>
      </c>
      <c r="P1936" s="1">
        <v>0</v>
      </c>
      <c r="Q1936" s="1">
        <v>0</v>
      </c>
      <c r="R1936" s="1">
        <v>0</v>
      </c>
      <c r="S1936" s="1">
        <v>0</v>
      </c>
      <c r="T1936" s="1">
        <v>33</v>
      </c>
      <c r="U1936" s="1">
        <v>62</v>
      </c>
      <c r="V1936" s="1">
        <v>59</v>
      </c>
    </row>
    <row r="1937" spans="1:22" x14ac:dyDescent="0.2">
      <c r="A1937" s="1" t="s">
        <v>1629</v>
      </c>
      <c r="B1937" s="1" t="s">
        <v>1944</v>
      </c>
      <c r="C1937" s="1">
        <v>0</v>
      </c>
      <c r="D1937" s="1">
        <v>0</v>
      </c>
      <c r="E1937" s="1">
        <v>0</v>
      </c>
      <c r="F1937" s="1">
        <v>0</v>
      </c>
      <c r="G1937" s="1">
        <v>0</v>
      </c>
      <c r="H1937" s="1">
        <v>0</v>
      </c>
      <c r="I1937" s="1">
        <v>0</v>
      </c>
      <c r="J1937" s="1">
        <v>0</v>
      </c>
      <c r="K1937" s="1">
        <v>0</v>
      </c>
      <c r="L1937" s="1">
        <v>0</v>
      </c>
      <c r="M1937" s="1">
        <v>0</v>
      </c>
      <c r="N1937" s="1">
        <v>0</v>
      </c>
      <c r="O1937" s="1">
        <v>0</v>
      </c>
      <c r="P1937" s="1">
        <v>0</v>
      </c>
      <c r="Q1937" s="1">
        <v>0</v>
      </c>
      <c r="R1937" s="1">
        <v>0</v>
      </c>
      <c r="S1937" s="1">
        <v>0</v>
      </c>
      <c r="T1937" s="1">
        <v>2</v>
      </c>
      <c r="U1937" s="1">
        <v>3</v>
      </c>
      <c r="V1937" s="1">
        <v>7</v>
      </c>
    </row>
    <row r="1938" spans="1:22" x14ac:dyDescent="0.2">
      <c r="A1938" s="1" t="s">
        <v>1629</v>
      </c>
      <c r="B1938" s="1" t="s">
        <v>1945</v>
      </c>
      <c r="C1938" s="1">
        <v>0</v>
      </c>
      <c r="D1938" s="1">
        <v>0</v>
      </c>
      <c r="E1938" s="1">
        <v>0</v>
      </c>
      <c r="F1938" s="1">
        <v>0</v>
      </c>
      <c r="G1938" s="1">
        <v>0</v>
      </c>
      <c r="H1938" s="1">
        <v>0</v>
      </c>
      <c r="I1938" s="1">
        <v>0</v>
      </c>
      <c r="J1938" s="1">
        <v>0</v>
      </c>
      <c r="K1938" s="1">
        <v>0</v>
      </c>
      <c r="L1938" s="1">
        <v>0</v>
      </c>
      <c r="M1938" s="1">
        <v>0</v>
      </c>
      <c r="N1938" s="1">
        <v>0</v>
      </c>
      <c r="V1938" s="1">
        <v>47</v>
      </c>
    </row>
    <row r="1939" spans="1:22" x14ac:dyDescent="0.2">
      <c r="A1939" s="1" t="s">
        <v>1629</v>
      </c>
      <c r="B1939" s="1" t="s">
        <v>1946</v>
      </c>
      <c r="C1939" s="1">
        <f t="shared" ref="C1939:K1939" si="300">SUM(C1940:C1954)</f>
        <v>4400</v>
      </c>
      <c r="D1939" s="1">
        <f t="shared" si="300"/>
        <v>6208</v>
      </c>
      <c r="E1939" s="1">
        <f t="shared" si="300"/>
        <v>8010</v>
      </c>
      <c r="F1939" s="1">
        <f t="shared" si="300"/>
        <v>9082</v>
      </c>
      <c r="G1939" s="1">
        <f t="shared" si="300"/>
        <v>10567</v>
      </c>
      <c r="H1939" s="1">
        <f t="shared" si="300"/>
        <v>12765</v>
      </c>
      <c r="I1939" s="1">
        <f t="shared" si="300"/>
        <v>12148</v>
      </c>
      <c r="J1939" s="1">
        <f t="shared" si="300"/>
        <v>18083</v>
      </c>
      <c r="K1939" s="1">
        <f t="shared" si="300"/>
        <v>29408</v>
      </c>
      <c r="L1939" s="1">
        <f>SUM(L1940:L1954)</f>
        <v>62416</v>
      </c>
      <c r="M1939" s="1">
        <f>SUM(M1940:M1954)</f>
        <v>64217</v>
      </c>
      <c r="N1939" s="1">
        <f>SUM(N1940:N1954)</f>
        <v>49523</v>
      </c>
      <c r="O1939" s="1">
        <f t="shared" ref="O1939:V1939" si="301">SUM(O1940:O1954)</f>
        <v>3481</v>
      </c>
      <c r="P1939" s="1">
        <f t="shared" si="301"/>
        <v>2824</v>
      </c>
      <c r="Q1939" s="1">
        <f t="shared" si="301"/>
        <v>3031</v>
      </c>
      <c r="R1939" s="1">
        <f t="shared" si="301"/>
        <v>3102</v>
      </c>
      <c r="S1939" s="1">
        <f t="shared" si="301"/>
        <v>3338</v>
      </c>
      <c r="T1939" s="1">
        <f t="shared" si="301"/>
        <v>3750</v>
      </c>
      <c r="U1939" s="1">
        <f t="shared" si="301"/>
        <v>3353</v>
      </c>
      <c r="V1939" s="1">
        <f t="shared" si="301"/>
        <v>3503</v>
      </c>
    </row>
    <row r="1940" spans="1:22" x14ac:dyDescent="0.2">
      <c r="A1940" s="1" t="s">
        <v>1629</v>
      </c>
      <c r="B1940" s="1" t="s">
        <v>1947</v>
      </c>
      <c r="C1940" s="1">
        <v>5</v>
      </c>
      <c r="D1940" s="1">
        <v>4</v>
      </c>
      <c r="E1940" s="1">
        <v>2</v>
      </c>
      <c r="F1940" s="1">
        <v>1</v>
      </c>
      <c r="G1940" s="1">
        <v>2</v>
      </c>
      <c r="H1940" s="1">
        <v>4</v>
      </c>
      <c r="I1940" s="1">
        <v>1</v>
      </c>
      <c r="J1940" s="1">
        <v>7</v>
      </c>
      <c r="K1940" s="1">
        <v>4</v>
      </c>
      <c r="L1940" s="1">
        <v>5</v>
      </c>
      <c r="M1940" s="1">
        <v>4</v>
      </c>
      <c r="N1940" s="1">
        <v>9</v>
      </c>
      <c r="O1940" s="1">
        <v>5</v>
      </c>
      <c r="P1940" s="1">
        <v>9</v>
      </c>
      <c r="Q1940" s="1">
        <v>16</v>
      </c>
      <c r="R1940" s="1">
        <v>14</v>
      </c>
      <c r="S1940" s="1">
        <v>19</v>
      </c>
      <c r="T1940" s="1">
        <v>43</v>
      </c>
      <c r="U1940" s="1">
        <v>18</v>
      </c>
      <c r="V1940" s="1">
        <v>21</v>
      </c>
    </row>
    <row r="1941" spans="1:22" x14ac:dyDescent="0.2">
      <c r="A1941" s="1" t="s">
        <v>1629</v>
      </c>
      <c r="B1941" s="1" t="s">
        <v>1948</v>
      </c>
      <c r="C1941" s="1">
        <v>0</v>
      </c>
      <c r="D1941" s="1">
        <v>0</v>
      </c>
      <c r="E1941" s="1">
        <v>0</v>
      </c>
      <c r="F1941" s="1">
        <v>0</v>
      </c>
      <c r="G1941" s="1">
        <v>0</v>
      </c>
      <c r="H1941" s="1">
        <v>1</v>
      </c>
      <c r="I1941" s="1">
        <v>5</v>
      </c>
      <c r="J1941" s="1">
        <v>2</v>
      </c>
      <c r="K1941" s="1">
        <v>14</v>
      </c>
      <c r="L1941" s="1">
        <v>20</v>
      </c>
      <c r="M1941" s="1">
        <v>22</v>
      </c>
      <c r="N1941" s="1">
        <v>46</v>
      </c>
      <c r="O1941" s="1">
        <v>24</v>
      </c>
      <c r="P1941" s="1">
        <v>29</v>
      </c>
      <c r="Q1941" s="1">
        <v>24</v>
      </c>
      <c r="R1941" s="1">
        <v>30</v>
      </c>
      <c r="S1941" s="1">
        <v>22</v>
      </c>
      <c r="T1941" s="1">
        <v>26</v>
      </c>
      <c r="U1941" s="1">
        <v>12</v>
      </c>
      <c r="V1941" s="1">
        <v>27</v>
      </c>
    </row>
    <row r="1942" spans="1:22" x14ac:dyDescent="0.2">
      <c r="A1942" s="1" t="s">
        <v>1629</v>
      </c>
      <c r="B1942" s="1" t="s">
        <v>1949</v>
      </c>
      <c r="C1942" s="1">
        <v>0</v>
      </c>
      <c r="D1942" s="1">
        <v>0</v>
      </c>
      <c r="E1942" s="1">
        <v>0</v>
      </c>
      <c r="F1942" s="1">
        <v>0</v>
      </c>
      <c r="G1942" s="1">
        <v>0</v>
      </c>
      <c r="H1942" s="1">
        <v>0</v>
      </c>
      <c r="I1942" s="1">
        <v>0</v>
      </c>
      <c r="J1942" s="1">
        <v>0</v>
      </c>
      <c r="K1942" s="1">
        <v>0</v>
      </c>
      <c r="L1942" s="1">
        <v>8</v>
      </c>
      <c r="M1942" s="1">
        <v>2</v>
      </c>
      <c r="N1942" s="1">
        <v>0</v>
      </c>
      <c r="V1942" s="1">
        <v>0</v>
      </c>
    </row>
    <row r="1943" spans="1:22" x14ac:dyDescent="0.2">
      <c r="A1943" s="1" t="s">
        <v>1629</v>
      </c>
      <c r="B1943" s="1" t="s">
        <v>1950</v>
      </c>
      <c r="C1943" s="1">
        <v>21</v>
      </c>
      <c r="D1943" s="1">
        <v>0</v>
      </c>
      <c r="E1943" s="1">
        <v>14</v>
      </c>
      <c r="F1943" s="1">
        <v>16</v>
      </c>
      <c r="G1943" s="1">
        <v>9</v>
      </c>
      <c r="H1943" s="1">
        <v>34</v>
      </c>
      <c r="I1943" s="1">
        <v>31</v>
      </c>
      <c r="J1943" s="1">
        <v>51</v>
      </c>
      <c r="K1943" s="1">
        <v>47</v>
      </c>
      <c r="L1943" s="1">
        <v>69</v>
      </c>
      <c r="M1943" s="1">
        <v>94</v>
      </c>
      <c r="N1943" s="1">
        <v>115</v>
      </c>
      <c r="O1943" s="1">
        <v>89</v>
      </c>
      <c r="P1943" s="1">
        <v>122</v>
      </c>
      <c r="Q1943" s="1">
        <v>107</v>
      </c>
      <c r="R1943" s="1">
        <v>60</v>
      </c>
      <c r="S1943" s="1">
        <v>19</v>
      </c>
      <c r="T1943" s="1">
        <v>82</v>
      </c>
      <c r="U1943" s="1">
        <v>30</v>
      </c>
      <c r="V1943" s="1">
        <v>25</v>
      </c>
    </row>
    <row r="1944" spans="1:22" x14ac:dyDescent="0.2">
      <c r="A1944" s="1" t="s">
        <v>1629</v>
      </c>
      <c r="B1944" s="1" t="s">
        <v>1951</v>
      </c>
      <c r="C1944" s="1">
        <v>0</v>
      </c>
      <c r="D1944" s="1">
        <v>0</v>
      </c>
      <c r="E1944" s="1">
        <v>0</v>
      </c>
      <c r="F1944" s="1">
        <v>0</v>
      </c>
      <c r="G1944" s="1">
        <v>168</v>
      </c>
      <c r="H1944" s="1">
        <v>326</v>
      </c>
      <c r="I1944" s="1">
        <v>257</v>
      </c>
      <c r="J1944" s="1">
        <v>83</v>
      </c>
      <c r="K1944" s="1">
        <v>97</v>
      </c>
      <c r="L1944" s="1">
        <v>23</v>
      </c>
      <c r="M1944" s="1">
        <v>11</v>
      </c>
      <c r="N1944" s="1">
        <v>14</v>
      </c>
      <c r="O1944" s="1">
        <v>13</v>
      </c>
      <c r="P1944" s="1">
        <v>70</v>
      </c>
      <c r="Q1944" s="1">
        <v>30</v>
      </c>
      <c r="R1944" s="1">
        <v>6</v>
      </c>
      <c r="S1944" s="1">
        <v>28</v>
      </c>
      <c r="T1944" s="1">
        <v>183</v>
      </c>
      <c r="U1944" s="1">
        <v>205</v>
      </c>
      <c r="V1944" s="1">
        <v>192</v>
      </c>
    </row>
    <row r="1945" spans="1:22" x14ac:dyDescent="0.2">
      <c r="A1945" s="1" t="s">
        <v>1629</v>
      </c>
      <c r="B1945" s="1" t="s">
        <v>1952</v>
      </c>
      <c r="C1945" s="1">
        <v>32</v>
      </c>
      <c r="D1945" s="1">
        <v>35</v>
      </c>
      <c r="E1945" s="1">
        <v>31</v>
      </c>
      <c r="F1945" s="1">
        <v>3</v>
      </c>
      <c r="G1945" s="1">
        <v>1</v>
      </c>
      <c r="H1945" s="1">
        <v>23</v>
      </c>
      <c r="I1945" s="1">
        <v>37</v>
      </c>
      <c r="J1945" s="1">
        <v>21</v>
      </c>
      <c r="K1945" s="1">
        <v>51</v>
      </c>
      <c r="L1945" s="1">
        <v>39</v>
      </c>
      <c r="M1945" s="1">
        <v>13</v>
      </c>
      <c r="N1945" s="1">
        <v>25</v>
      </c>
      <c r="O1945" s="1">
        <v>60</v>
      </c>
      <c r="P1945" s="1">
        <v>4</v>
      </c>
      <c r="Q1945" s="1">
        <v>16</v>
      </c>
      <c r="R1945" s="1">
        <v>16</v>
      </c>
      <c r="S1945" s="1">
        <v>14</v>
      </c>
      <c r="T1945" s="1">
        <v>2</v>
      </c>
      <c r="U1945" s="1">
        <v>27</v>
      </c>
      <c r="V1945" s="1">
        <v>0</v>
      </c>
    </row>
    <row r="1946" spans="1:22" x14ac:dyDescent="0.2">
      <c r="A1946" s="1" t="s">
        <v>1629</v>
      </c>
      <c r="B1946" s="1" t="s">
        <v>1953</v>
      </c>
      <c r="C1946" s="1">
        <v>0</v>
      </c>
      <c r="D1946" s="1">
        <v>0</v>
      </c>
      <c r="E1946" s="1">
        <v>0</v>
      </c>
      <c r="F1946" s="1">
        <v>0</v>
      </c>
      <c r="G1946" s="1">
        <v>0</v>
      </c>
      <c r="H1946" s="1">
        <v>0</v>
      </c>
      <c r="I1946" s="1">
        <v>23</v>
      </c>
      <c r="J1946" s="1">
        <v>34</v>
      </c>
      <c r="K1946" s="1">
        <v>56</v>
      </c>
      <c r="L1946" s="1">
        <v>107</v>
      </c>
      <c r="M1946" s="1">
        <v>256</v>
      </c>
      <c r="N1946" s="1">
        <v>274</v>
      </c>
      <c r="O1946" s="1">
        <v>362</v>
      </c>
      <c r="P1946" s="1">
        <v>298</v>
      </c>
      <c r="Q1946" s="1">
        <v>295</v>
      </c>
      <c r="R1946" s="1">
        <v>461</v>
      </c>
      <c r="S1946" s="1">
        <v>626</v>
      </c>
      <c r="T1946" s="1">
        <v>662</v>
      </c>
      <c r="U1946" s="1">
        <v>584</v>
      </c>
      <c r="V1946" s="1">
        <v>807</v>
      </c>
    </row>
    <row r="1947" spans="1:22" x14ac:dyDescent="0.2">
      <c r="A1947" s="1" t="s">
        <v>1629</v>
      </c>
      <c r="B1947" s="1" t="s">
        <v>1954</v>
      </c>
      <c r="C1947" s="1">
        <v>3</v>
      </c>
      <c r="D1947" s="1">
        <v>5</v>
      </c>
      <c r="E1947" s="1">
        <v>140</v>
      </c>
      <c r="F1947" s="1">
        <v>296</v>
      </c>
      <c r="G1947" s="1">
        <v>111</v>
      </c>
      <c r="H1947" s="1">
        <v>90</v>
      </c>
      <c r="I1947" s="1">
        <v>91</v>
      </c>
      <c r="J1947" s="1">
        <v>115</v>
      </c>
      <c r="K1947" s="1">
        <v>170</v>
      </c>
      <c r="L1947" s="1">
        <v>46</v>
      </c>
      <c r="M1947" s="1">
        <v>72</v>
      </c>
      <c r="N1947" s="1">
        <v>235</v>
      </c>
      <c r="O1947" s="1">
        <v>97</v>
      </c>
      <c r="P1947" s="1">
        <v>115</v>
      </c>
      <c r="Q1947" s="1">
        <v>119</v>
      </c>
      <c r="R1947" s="1">
        <v>135</v>
      </c>
      <c r="S1947" s="1">
        <v>156</v>
      </c>
      <c r="T1947" s="1">
        <v>128</v>
      </c>
      <c r="U1947" s="1">
        <v>204</v>
      </c>
      <c r="V1947" s="1">
        <v>237</v>
      </c>
    </row>
    <row r="1948" spans="1:22" x14ac:dyDescent="0.2">
      <c r="A1948" s="1" t="s">
        <v>1629</v>
      </c>
      <c r="B1948" s="1" t="s">
        <v>1955</v>
      </c>
      <c r="C1948" s="1">
        <v>0</v>
      </c>
      <c r="D1948" s="1">
        <v>0</v>
      </c>
      <c r="E1948" s="1">
        <v>0</v>
      </c>
      <c r="F1948" s="1">
        <v>0</v>
      </c>
      <c r="G1948" s="1">
        <v>19</v>
      </c>
      <c r="H1948" s="1">
        <v>1588</v>
      </c>
      <c r="I1948" s="1">
        <v>2363</v>
      </c>
      <c r="J1948" s="1">
        <v>5049</v>
      </c>
      <c r="K1948" s="1">
        <v>8234</v>
      </c>
      <c r="L1948" s="1">
        <v>17881</v>
      </c>
      <c r="M1948" s="1">
        <v>15674</v>
      </c>
      <c r="N1948" s="1">
        <v>8371</v>
      </c>
      <c r="O1948" s="1">
        <v>152</v>
      </c>
      <c r="P1948" s="1">
        <v>1</v>
      </c>
      <c r="Q1948" s="1">
        <v>72</v>
      </c>
      <c r="R1948" s="1">
        <v>79</v>
      </c>
      <c r="S1948" s="1">
        <v>134</v>
      </c>
      <c r="T1948" s="1">
        <v>141</v>
      </c>
      <c r="U1948" s="1">
        <v>0</v>
      </c>
      <c r="V1948" s="1">
        <v>0</v>
      </c>
    </row>
    <row r="1949" spans="1:22" x14ac:dyDescent="0.2">
      <c r="A1949" s="1" t="s">
        <v>1629</v>
      </c>
      <c r="B1949" s="1" t="s">
        <v>1956</v>
      </c>
      <c r="C1949" s="1">
        <v>0</v>
      </c>
      <c r="D1949" s="1">
        <v>5</v>
      </c>
      <c r="E1949" s="1">
        <v>21</v>
      </c>
      <c r="F1949" s="1">
        <v>8</v>
      </c>
      <c r="G1949" s="1">
        <v>0</v>
      </c>
      <c r="H1949" s="1">
        <v>0</v>
      </c>
      <c r="I1949" s="1">
        <v>0</v>
      </c>
      <c r="J1949" s="1">
        <v>0</v>
      </c>
      <c r="K1949" s="1">
        <v>0</v>
      </c>
      <c r="L1949" s="1">
        <v>0</v>
      </c>
      <c r="M1949" s="1">
        <v>0</v>
      </c>
      <c r="N1949" s="1">
        <v>0</v>
      </c>
      <c r="O1949" s="1">
        <v>0</v>
      </c>
      <c r="P1949" s="1">
        <v>0</v>
      </c>
      <c r="Q1949" s="1">
        <v>0</v>
      </c>
      <c r="R1949" s="1">
        <v>0</v>
      </c>
      <c r="S1949" s="1">
        <v>0</v>
      </c>
      <c r="T1949" s="1">
        <v>30</v>
      </c>
      <c r="U1949" s="1">
        <v>10</v>
      </c>
      <c r="V1949" s="1">
        <v>27</v>
      </c>
    </row>
    <row r="1950" spans="1:22" x14ac:dyDescent="0.2">
      <c r="A1950" s="1" t="s">
        <v>1629</v>
      </c>
      <c r="B1950" s="1" t="s">
        <v>1957</v>
      </c>
      <c r="C1950" s="1">
        <v>2901</v>
      </c>
      <c r="D1950" s="1">
        <v>4422</v>
      </c>
      <c r="E1950" s="1">
        <v>5106</v>
      </c>
      <c r="F1950" s="1">
        <v>5305</v>
      </c>
      <c r="G1950" s="1">
        <v>7323</v>
      </c>
      <c r="H1950" s="1">
        <v>9487</v>
      </c>
      <c r="I1950" s="1">
        <v>8408</v>
      </c>
      <c r="J1950" s="1">
        <v>11713</v>
      </c>
      <c r="K1950" s="1">
        <v>19712</v>
      </c>
      <c r="L1950" s="1">
        <v>41885</v>
      </c>
      <c r="M1950" s="1">
        <v>45307</v>
      </c>
      <c r="N1950" s="1">
        <v>38497</v>
      </c>
      <c r="O1950" s="1">
        <v>705</v>
      </c>
      <c r="P1950" s="1">
        <v>353</v>
      </c>
      <c r="Q1950" s="1">
        <v>324</v>
      </c>
      <c r="R1950" s="1">
        <v>294</v>
      </c>
      <c r="S1950" s="1">
        <v>410</v>
      </c>
      <c r="T1950" s="1">
        <v>392</v>
      </c>
      <c r="U1950" s="1">
        <v>358</v>
      </c>
      <c r="V1950" s="1">
        <v>280</v>
      </c>
    </row>
    <row r="1951" spans="1:22" x14ac:dyDescent="0.2">
      <c r="A1951" s="1" t="s">
        <v>1629</v>
      </c>
      <c r="B1951" s="1" t="s">
        <v>1958</v>
      </c>
      <c r="C1951" s="1">
        <v>158</v>
      </c>
      <c r="D1951" s="1">
        <v>121</v>
      </c>
      <c r="E1951" s="1">
        <v>126</v>
      </c>
      <c r="F1951" s="1">
        <v>71</v>
      </c>
      <c r="G1951" s="1">
        <v>105</v>
      </c>
      <c r="H1951" s="1">
        <v>337</v>
      </c>
      <c r="I1951" s="1">
        <v>306</v>
      </c>
      <c r="J1951" s="1">
        <v>334</v>
      </c>
      <c r="K1951" s="1">
        <v>341</v>
      </c>
      <c r="L1951" s="1">
        <v>266</v>
      </c>
      <c r="M1951" s="1">
        <v>249</v>
      </c>
      <c r="N1951" s="1">
        <v>240</v>
      </c>
      <c r="O1951" s="1">
        <v>323</v>
      </c>
      <c r="P1951" s="1">
        <v>401</v>
      </c>
      <c r="Q1951" s="1">
        <v>551</v>
      </c>
      <c r="R1951" s="1">
        <v>538</v>
      </c>
      <c r="S1951" s="1">
        <v>581</v>
      </c>
      <c r="T1951" s="1">
        <v>622</v>
      </c>
      <c r="U1951" s="1">
        <v>640</v>
      </c>
      <c r="V1951" s="1">
        <v>467</v>
      </c>
    </row>
    <row r="1952" spans="1:22" x14ac:dyDescent="0.2">
      <c r="A1952" s="1" t="s">
        <v>1629</v>
      </c>
      <c r="B1952" s="1" t="s">
        <v>1959</v>
      </c>
      <c r="C1952" s="1">
        <v>18</v>
      </c>
      <c r="D1952" s="1">
        <v>20</v>
      </c>
      <c r="E1952" s="1">
        <v>40</v>
      </c>
      <c r="F1952" s="1">
        <v>25</v>
      </c>
      <c r="G1952" s="1">
        <v>35</v>
      </c>
      <c r="H1952" s="1">
        <v>33</v>
      </c>
      <c r="I1952" s="1">
        <v>19</v>
      </c>
      <c r="J1952" s="1">
        <v>28</v>
      </c>
      <c r="K1952" s="1">
        <v>8</v>
      </c>
      <c r="L1952" s="1">
        <v>10</v>
      </c>
      <c r="M1952" s="1">
        <v>8</v>
      </c>
      <c r="N1952" s="1">
        <v>7</v>
      </c>
      <c r="O1952" s="1">
        <v>8</v>
      </c>
      <c r="P1952" s="1">
        <v>6</v>
      </c>
      <c r="Q1952" s="1">
        <v>4</v>
      </c>
      <c r="R1952" s="1">
        <v>8</v>
      </c>
      <c r="S1952" s="1">
        <v>1</v>
      </c>
      <c r="T1952" s="1">
        <v>20</v>
      </c>
      <c r="U1952" s="1">
        <v>139</v>
      </c>
      <c r="V1952" s="1">
        <v>140</v>
      </c>
    </row>
    <row r="1953" spans="1:22" x14ac:dyDescent="0.2">
      <c r="A1953" s="1" t="s">
        <v>1629</v>
      </c>
      <c r="B1953" s="1" t="s">
        <v>1960</v>
      </c>
      <c r="C1953" s="1">
        <v>227</v>
      </c>
      <c r="D1953" s="1">
        <v>191</v>
      </c>
      <c r="E1953" s="1">
        <v>301</v>
      </c>
      <c r="F1953" s="1">
        <v>443</v>
      </c>
      <c r="G1953" s="1">
        <v>474</v>
      </c>
      <c r="H1953" s="1">
        <v>842</v>
      </c>
      <c r="I1953" s="1">
        <v>607</v>
      </c>
      <c r="J1953" s="1">
        <v>646</v>
      </c>
      <c r="K1953" s="1">
        <v>674</v>
      </c>
      <c r="L1953" s="1">
        <v>1175</v>
      </c>
      <c r="M1953" s="1">
        <v>1241</v>
      </c>
      <c r="N1953" s="1">
        <v>1395</v>
      </c>
      <c r="O1953" s="1">
        <v>1598</v>
      </c>
      <c r="P1953" s="1">
        <v>1354</v>
      </c>
      <c r="Q1953" s="1">
        <v>1382</v>
      </c>
      <c r="R1953" s="1">
        <v>1246</v>
      </c>
      <c r="S1953" s="1">
        <v>1253</v>
      </c>
      <c r="T1953" s="1">
        <v>1366</v>
      </c>
      <c r="U1953" s="1">
        <v>1061</v>
      </c>
      <c r="V1953" s="1">
        <v>932</v>
      </c>
    </row>
    <row r="1954" spans="1:22" x14ac:dyDescent="0.2">
      <c r="A1954" s="1" t="s">
        <v>1629</v>
      </c>
      <c r="B1954" s="1" t="s">
        <v>1961</v>
      </c>
      <c r="C1954" s="1">
        <v>1035</v>
      </c>
      <c r="D1954" s="1">
        <v>1405</v>
      </c>
      <c r="E1954" s="1">
        <v>2229</v>
      </c>
      <c r="F1954" s="1">
        <v>2914</v>
      </c>
      <c r="G1954" s="1">
        <v>2320</v>
      </c>
      <c r="H1954" s="1">
        <v>0</v>
      </c>
      <c r="I1954" s="1">
        <v>0</v>
      </c>
      <c r="J1954" s="1">
        <v>0</v>
      </c>
      <c r="K1954" s="1">
        <v>0</v>
      </c>
      <c r="L1954" s="1">
        <v>882</v>
      </c>
      <c r="M1954" s="1">
        <v>1264</v>
      </c>
      <c r="N1954" s="1">
        <v>295</v>
      </c>
      <c r="O1954" s="1">
        <v>45</v>
      </c>
      <c r="P1954" s="1">
        <v>62</v>
      </c>
      <c r="Q1954" s="1">
        <v>91</v>
      </c>
      <c r="R1954" s="1">
        <v>215</v>
      </c>
      <c r="S1954" s="1">
        <v>75</v>
      </c>
      <c r="T1954" s="1">
        <v>53</v>
      </c>
      <c r="U1954" s="1">
        <v>65</v>
      </c>
      <c r="V1954" s="1">
        <v>348</v>
      </c>
    </row>
    <row r="1955" spans="1:22" x14ac:dyDescent="0.2">
      <c r="A1955" s="1" t="s">
        <v>1629</v>
      </c>
      <c r="B1955" s="1" t="s">
        <v>1962</v>
      </c>
      <c r="C1955" s="1">
        <f t="shared" ref="C1955:K1955" si="302">SUM(C1956:C1973)</f>
        <v>1181</v>
      </c>
      <c r="D1955" s="1">
        <f t="shared" si="302"/>
        <v>1300</v>
      </c>
      <c r="E1955" s="1">
        <f t="shared" si="302"/>
        <v>1356</v>
      </c>
      <c r="F1955" s="1">
        <f t="shared" si="302"/>
        <v>1356</v>
      </c>
      <c r="G1955" s="1">
        <f t="shared" si="302"/>
        <v>1388</v>
      </c>
      <c r="H1955" s="1">
        <f t="shared" si="302"/>
        <v>1655</v>
      </c>
      <c r="I1955" s="1">
        <f t="shared" si="302"/>
        <v>1632</v>
      </c>
      <c r="J1955" s="1">
        <f t="shared" si="302"/>
        <v>1708</v>
      </c>
      <c r="K1955" s="1">
        <f t="shared" si="302"/>
        <v>1765</v>
      </c>
      <c r="L1955" s="1">
        <f>SUM(L1956:L1973)</f>
        <v>1585</v>
      </c>
      <c r="M1955" s="1">
        <f>SUM(M1956:M1973)</f>
        <v>1525</v>
      </c>
      <c r="N1955" s="1">
        <f>SUM(N1956:N1973)</f>
        <v>1249</v>
      </c>
      <c r="O1955" s="1">
        <f t="shared" ref="O1955:V1955" si="303">SUM(O1956:O1973)</f>
        <v>1228</v>
      </c>
      <c r="P1955" s="1">
        <f t="shared" si="303"/>
        <v>1137</v>
      </c>
      <c r="Q1955" s="1">
        <f t="shared" si="303"/>
        <v>1231</v>
      </c>
      <c r="R1955" s="1">
        <f t="shared" si="303"/>
        <v>1073</v>
      </c>
      <c r="S1955" s="1">
        <f t="shared" si="303"/>
        <v>1003</v>
      </c>
      <c r="T1955" s="1">
        <f t="shared" si="303"/>
        <v>1060</v>
      </c>
      <c r="U1955" s="1">
        <f t="shared" si="303"/>
        <v>891</v>
      </c>
      <c r="V1955" s="1">
        <f t="shared" si="303"/>
        <v>1286</v>
      </c>
    </row>
    <row r="1956" spans="1:22" x14ac:dyDescent="0.2">
      <c r="A1956" s="1" t="s">
        <v>1629</v>
      </c>
      <c r="B1956" s="1" t="s">
        <v>1963</v>
      </c>
      <c r="C1956" s="1">
        <v>0</v>
      </c>
      <c r="D1956" s="1">
        <v>0</v>
      </c>
      <c r="E1956" s="1">
        <v>0</v>
      </c>
      <c r="F1956" s="1">
        <v>0</v>
      </c>
      <c r="G1956" s="1">
        <v>0</v>
      </c>
      <c r="H1956" s="1">
        <v>0</v>
      </c>
      <c r="I1956" s="1">
        <v>0</v>
      </c>
      <c r="J1956" s="1">
        <v>0</v>
      </c>
      <c r="K1956" s="1">
        <v>0</v>
      </c>
      <c r="L1956" s="1">
        <v>0</v>
      </c>
      <c r="M1956" s="1">
        <v>0</v>
      </c>
      <c r="N1956" s="1">
        <v>0</v>
      </c>
      <c r="O1956" s="1">
        <v>0</v>
      </c>
      <c r="P1956" s="1">
        <v>95</v>
      </c>
      <c r="Q1956" s="1">
        <v>9</v>
      </c>
      <c r="R1956" s="1">
        <v>32</v>
      </c>
      <c r="S1956" s="1">
        <v>30</v>
      </c>
      <c r="T1956" s="1">
        <v>31</v>
      </c>
      <c r="U1956" s="1">
        <v>19</v>
      </c>
      <c r="V1956" s="1">
        <v>23</v>
      </c>
    </row>
    <row r="1957" spans="1:22" x14ac:dyDescent="0.2">
      <c r="A1957" s="1" t="s">
        <v>1629</v>
      </c>
      <c r="B1957" s="1" t="s">
        <v>1964</v>
      </c>
      <c r="C1957" s="1">
        <v>0</v>
      </c>
      <c r="D1957" s="1">
        <v>0</v>
      </c>
      <c r="E1957" s="1">
        <v>0</v>
      </c>
      <c r="F1957" s="1">
        <v>0</v>
      </c>
      <c r="G1957" s="1">
        <v>0</v>
      </c>
      <c r="H1957" s="1">
        <v>0</v>
      </c>
      <c r="I1957" s="1">
        <v>0</v>
      </c>
      <c r="J1957" s="1">
        <v>0</v>
      </c>
      <c r="K1957" s="1">
        <v>0</v>
      </c>
      <c r="L1957" s="1">
        <v>0</v>
      </c>
      <c r="M1957" s="1">
        <v>0</v>
      </c>
      <c r="N1957" s="1">
        <v>0</v>
      </c>
      <c r="O1957" s="1">
        <v>0</v>
      </c>
      <c r="P1957" s="1">
        <v>0</v>
      </c>
      <c r="Q1957" s="1">
        <v>0</v>
      </c>
      <c r="R1957" s="1">
        <v>0</v>
      </c>
      <c r="S1957" s="1">
        <v>0</v>
      </c>
      <c r="T1957" s="1">
        <v>5</v>
      </c>
      <c r="U1957" s="1">
        <v>4</v>
      </c>
      <c r="V1957" s="1">
        <v>8</v>
      </c>
    </row>
    <row r="1958" spans="1:22" x14ac:dyDescent="0.2">
      <c r="A1958" s="1" t="s">
        <v>1629</v>
      </c>
      <c r="B1958" s="1" t="s">
        <v>1965</v>
      </c>
      <c r="C1958" s="1">
        <v>0</v>
      </c>
      <c r="D1958" s="1">
        <v>0</v>
      </c>
      <c r="E1958" s="1">
        <v>0</v>
      </c>
      <c r="F1958" s="1">
        <v>0</v>
      </c>
      <c r="G1958" s="1">
        <v>0</v>
      </c>
      <c r="H1958" s="1">
        <v>0</v>
      </c>
      <c r="I1958" s="1">
        <v>0</v>
      </c>
      <c r="J1958" s="1">
        <v>0</v>
      </c>
      <c r="K1958" s="1">
        <v>0</v>
      </c>
      <c r="L1958" s="1">
        <v>0</v>
      </c>
      <c r="M1958" s="1">
        <v>0</v>
      </c>
      <c r="N1958" s="1">
        <v>0</v>
      </c>
      <c r="O1958" s="1">
        <v>0</v>
      </c>
      <c r="P1958" s="1">
        <v>0</v>
      </c>
      <c r="Q1958" s="1">
        <v>2</v>
      </c>
      <c r="R1958" s="1">
        <v>12</v>
      </c>
      <c r="S1958" s="1">
        <v>0</v>
      </c>
      <c r="T1958" s="1">
        <v>0</v>
      </c>
      <c r="U1958" s="1">
        <v>0</v>
      </c>
      <c r="V1958" s="1">
        <v>55</v>
      </c>
    </row>
    <row r="1959" spans="1:22" x14ac:dyDescent="0.2">
      <c r="A1959" s="1" t="s">
        <v>1629</v>
      </c>
      <c r="B1959" s="1" t="s">
        <v>1966</v>
      </c>
      <c r="C1959" s="1">
        <v>0</v>
      </c>
      <c r="D1959" s="1">
        <v>0</v>
      </c>
      <c r="E1959" s="1">
        <v>0</v>
      </c>
      <c r="F1959" s="1">
        <v>0</v>
      </c>
      <c r="G1959" s="1">
        <v>0</v>
      </c>
      <c r="H1959" s="1">
        <v>0</v>
      </c>
      <c r="I1959" s="1">
        <v>0</v>
      </c>
      <c r="J1959" s="1">
        <v>0</v>
      </c>
      <c r="K1959" s="1">
        <v>0</v>
      </c>
      <c r="L1959" s="1">
        <v>0</v>
      </c>
      <c r="M1959" s="1">
        <v>0</v>
      </c>
      <c r="N1959" s="1">
        <v>0</v>
      </c>
      <c r="O1959" s="1">
        <v>0</v>
      </c>
      <c r="P1959" s="1">
        <v>0</v>
      </c>
      <c r="Q1959" s="1">
        <v>2</v>
      </c>
      <c r="R1959" s="1">
        <v>8</v>
      </c>
      <c r="S1959" s="1">
        <v>0</v>
      </c>
      <c r="T1959" s="1">
        <v>12</v>
      </c>
      <c r="U1959" s="1">
        <v>12</v>
      </c>
      <c r="V1959" s="1">
        <v>22</v>
      </c>
    </row>
    <row r="1960" spans="1:22" x14ac:dyDescent="0.2">
      <c r="A1960" s="1" t="s">
        <v>1629</v>
      </c>
      <c r="B1960" s="1" t="s">
        <v>1967</v>
      </c>
      <c r="C1960" s="1">
        <v>0</v>
      </c>
      <c r="D1960" s="1">
        <v>0</v>
      </c>
      <c r="E1960" s="1">
        <v>0</v>
      </c>
      <c r="F1960" s="1">
        <v>0</v>
      </c>
      <c r="G1960" s="1">
        <v>0</v>
      </c>
      <c r="H1960" s="1">
        <v>0</v>
      </c>
      <c r="I1960" s="1">
        <v>0</v>
      </c>
      <c r="J1960" s="1">
        <v>0</v>
      </c>
      <c r="K1960" s="1">
        <v>0</v>
      </c>
      <c r="L1960" s="1">
        <v>0</v>
      </c>
      <c r="M1960" s="1">
        <v>0</v>
      </c>
      <c r="N1960" s="1">
        <v>0</v>
      </c>
      <c r="O1960" s="1">
        <v>0</v>
      </c>
      <c r="P1960" s="1">
        <v>0</v>
      </c>
      <c r="Q1960" s="1">
        <v>1</v>
      </c>
      <c r="R1960" s="1">
        <v>12</v>
      </c>
      <c r="S1960" s="1">
        <v>0</v>
      </c>
      <c r="T1960" s="1">
        <v>29</v>
      </c>
      <c r="U1960" s="1">
        <v>29</v>
      </c>
      <c r="V1960" s="1">
        <v>43</v>
      </c>
    </row>
    <row r="1961" spans="1:22" x14ac:dyDescent="0.2">
      <c r="A1961" s="1" t="s">
        <v>1629</v>
      </c>
      <c r="B1961" s="1" t="s">
        <v>1968</v>
      </c>
      <c r="C1961" s="1">
        <v>0</v>
      </c>
      <c r="D1961" s="1">
        <v>0</v>
      </c>
      <c r="E1961" s="1">
        <v>0</v>
      </c>
      <c r="F1961" s="1">
        <v>0</v>
      </c>
      <c r="G1961" s="1">
        <v>0</v>
      </c>
      <c r="H1961" s="1">
        <v>0</v>
      </c>
      <c r="I1961" s="1">
        <v>0</v>
      </c>
      <c r="J1961" s="1">
        <v>0</v>
      </c>
      <c r="K1961" s="1">
        <v>0</v>
      </c>
      <c r="L1961" s="1">
        <v>0</v>
      </c>
      <c r="M1961" s="1">
        <v>0</v>
      </c>
      <c r="N1961" s="1">
        <v>0</v>
      </c>
      <c r="O1961" s="1">
        <v>0</v>
      </c>
      <c r="P1961" s="1">
        <v>0</v>
      </c>
      <c r="Q1961" s="1">
        <v>15</v>
      </c>
      <c r="R1961" s="1">
        <v>13</v>
      </c>
      <c r="S1961" s="1">
        <v>34</v>
      </c>
      <c r="T1961" s="1">
        <v>18</v>
      </c>
      <c r="U1961" s="1">
        <v>29</v>
      </c>
      <c r="V1961" s="1">
        <v>35</v>
      </c>
    </row>
    <row r="1962" spans="1:22" x14ac:dyDescent="0.2">
      <c r="A1962" s="1" t="s">
        <v>1629</v>
      </c>
      <c r="B1962" s="1" t="s">
        <v>1969</v>
      </c>
      <c r="C1962" s="1">
        <v>0</v>
      </c>
      <c r="D1962" s="1">
        <v>0</v>
      </c>
      <c r="E1962" s="1">
        <v>0</v>
      </c>
      <c r="F1962" s="1">
        <v>0</v>
      </c>
      <c r="G1962" s="1">
        <v>0</v>
      </c>
      <c r="H1962" s="1">
        <v>0</v>
      </c>
      <c r="I1962" s="1">
        <v>0</v>
      </c>
      <c r="J1962" s="1">
        <v>0</v>
      </c>
      <c r="K1962" s="1">
        <v>0</v>
      </c>
      <c r="L1962" s="1">
        <v>0</v>
      </c>
      <c r="M1962" s="1">
        <v>0</v>
      </c>
      <c r="N1962" s="1">
        <v>0</v>
      </c>
      <c r="O1962" s="1">
        <v>0</v>
      </c>
      <c r="P1962" s="1">
        <v>1</v>
      </c>
      <c r="Q1962" s="1">
        <v>1</v>
      </c>
      <c r="R1962" s="1">
        <v>0</v>
      </c>
      <c r="S1962" s="1">
        <v>0</v>
      </c>
      <c r="T1962" s="1">
        <v>0</v>
      </c>
      <c r="U1962" s="1">
        <v>0</v>
      </c>
      <c r="V1962" s="1">
        <v>0</v>
      </c>
    </row>
    <row r="1963" spans="1:22" x14ac:dyDescent="0.2">
      <c r="A1963" s="1" t="s">
        <v>1629</v>
      </c>
      <c r="B1963" s="1" t="s">
        <v>1970</v>
      </c>
      <c r="C1963" s="1">
        <v>0</v>
      </c>
      <c r="D1963" s="1">
        <v>0</v>
      </c>
      <c r="E1963" s="1">
        <v>0</v>
      </c>
      <c r="F1963" s="1">
        <v>0</v>
      </c>
      <c r="G1963" s="1">
        <v>0</v>
      </c>
      <c r="H1963" s="1">
        <v>0</v>
      </c>
      <c r="I1963" s="1">
        <v>0</v>
      </c>
      <c r="J1963" s="1">
        <v>0</v>
      </c>
      <c r="K1963" s="1">
        <v>0</v>
      </c>
      <c r="L1963" s="1">
        <v>0</v>
      </c>
      <c r="M1963" s="1">
        <v>0</v>
      </c>
      <c r="N1963" s="1">
        <v>0</v>
      </c>
      <c r="O1963" s="1">
        <v>0</v>
      </c>
      <c r="P1963" s="1">
        <v>3</v>
      </c>
      <c r="Q1963" s="1">
        <v>2</v>
      </c>
      <c r="R1963" s="1">
        <v>2</v>
      </c>
      <c r="S1963" s="1">
        <v>11</v>
      </c>
      <c r="T1963" s="1">
        <v>9</v>
      </c>
      <c r="U1963" s="1">
        <v>9</v>
      </c>
      <c r="V1963" s="1">
        <v>9</v>
      </c>
    </row>
    <row r="1964" spans="1:22" x14ac:dyDescent="0.2">
      <c r="A1964" s="1" t="s">
        <v>1629</v>
      </c>
      <c r="B1964" s="1" t="s">
        <v>1971</v>
      </c>
      <c r="C1964" s="1">
        <v>0</v>
      </c>
      <c r="D1964" s="1">
        <v>0</v>
      </c>
      <c r="E1964" s="1">
        <v>0</v>
      </c>
      <c r="F1964" s="1">
        <v>0</v>
      </c>
      <c r="G1964" s="1">
        <v>0</v>
      </c>
      <c r="H1964" s="1">
        <v>0</v>
      </c>
      <c r="I1964" s="1">
        <v>0</v>
      </c>
      <c r="J1964" s="1">
        <v>0</v>
      </c>
      <c r="K1964" s="1">
        <v>0</v>
      </c>
      <c r="L1964" s="1">
        <v>0</v>
      </c>
      <c r="M1964" s="1">
        <v>0</v>
      </c>
      <c r="N1964" s="1">
        <v>0</v>
      </c>
      <c r="O1964" s="1">
        <v>0</v>
      </c>
      <c r="P1964" s="1">
        <v>0</v>
      </c>
      <c r="Q1964" s="1">
        <v>1</v>
      </c>
      <c r="R1964" s="1">
        <v>3</v>
      </c>
      <c r="S1964" s="1">
        <v>5</v>
      </c>
      <c r="T1964" s="1">
        <v>0</v>
      </c>
      <c r="U1964" s="1">
        <v>0</v>
      </c>
      <c r="V1964" s="1">
        <v>6</v>
      </c>
    </row>
    <row r="1965" spans="1:22" x14ac:dyDescent="0.2">
      <c r="A1965" s="1" t="s">
        <v>1629</v>
      </c>
      <c r="B1965" s="1" t="s">
        <v>1972</v>
      </c>
      <c r="C1965" s="1">
        <v>0</v>
      </c>
      <c r="D1965" s="1">
        <v>0</v>
      </c>
      <c r="E1965" s="1">
        <v>0</v>
      </c>
      <c r="F1965" s="1">
        <v>0</v>
      </c>
      <c r="G1965" s="1">
        <v>0</v>
      </c>
      <c r="H1965" s="1">
        <v>0</v>
      </c>
      <c r="I1965" s="1">
        <v>0</v>
      </c>
      <c r="J1965" s="1">
        <v>0</v>
      </c>
      <c r="K1965" s="1">
        <v>0</v>
      </c>
      <c r="L1965" s="1">
        <v>0</v>
      </c>
      <c r="M1965" s="1">
        <v>0</v>
      </c>
      <c r="N1965" s="1">
        <v>0</v>
      </c>
      <c r="O1965" s="1">
        <v>43</v>
      </c>
      <c r="P1965" s="1">
        <v>22</v>
      </c>
      <c r="Q1965" s="1">
        <v>65</v>
      </c>
      <c r="R1965" s="1">
        <v>98</v>
      </c>
      <c r="S1965" s="1">
        <v>114</v>
      </c>
      <c r="T1965" s="1">
        <v>154</v>
      </c>
      <c r="U1965" s="1">
        <v>137</v>
      </c>
      <c r="V1965" s="1">
        <v>226</v>
      </c>
    </row>
    <row r="1966" spans="1:22" x14ac:dyDescent="0.2">
      <c r="A1966" s="1" t="s">
        <v>1629</v>
      </c>
      <c r="B1966" s="1" t="s">
        <v>1973</v>
      </c>
      <c r="C1966" s="1">
        <v>0</v>
      </c>
      <c r="D1966" s="1">
        <v>0</v>
      </c>
      <c r="E1966" s="1">
        <v>0</v>
      </c>
      <c r="F1966" s="1">
        <v>0</v>
      </c>
      <c r="G1966" s="1">
        <v>0</v>
      </c>
      <c r="H1966" s="1">
        <v>0</v>
      </c>
      <c r="I1966" s="1">
        <v>0</v>
      </c>
      <c r="J1966" s="1">
        <v>0</v>
      </c>
      <c r="K1966" s="1">
        <v>0</v>
      </c>
      <c r="L1966" s="1">
        <v>0</v>
      </c>
      <c r="M1966" s="1">
        <v>0</v>
      </c>
      <c r="N1966" s="1">
        <v>0</v>
      </c>
      <c r="O1966" s="1">
        <v>0</v>
      </c>
      <c r="P1966" s="1">
        <v>0</v>
      </c>
      <c r="Q1966" s="1">
        <v>0</v>
      </c>
      <c r="R1966" s="1">
        <v>2</v>
      </c>
      <c r="S1966" s="1">
        <v>1</v>
      </c>
      <c r="T1966" s="1">
        <v>0</v>
      </c>
      <c r="U1966" s="1">
        <v>0</v>
      </c>
      <c r="V1966" s="1">
        <v>2</v>
      </c>
    </row>
    <row r="1967" spans="1:22" x14ac:dyDescent="0.2">
      <c r="A1967" s="1" t="s">
        <v>1629</v>
      </c>
      <c r="B1967" s="1" t="s">
        <v>1974</v>
      </c>
      <c r="C1967" s="1">
        <v>0</v>
      </c>
      <c r="D1967" s="1">
        <v>0</v>
      </c>
      <c r="E1967" s="1">
        <v>0</v>
      </c>
      <c r="F1967" s="1">
        <v>0</v>
      </c>
      <c r="G1967" s="1">
        <v>0</v>
      </c>
      <c r="H1967" s="1">
        <v>0</v>
      </c>
      <c r="I1967" s="1">
        <v>0</v>
      </c>
      <c r="J1967" s="1">
        <v>0</v>
      </c>
      <c r="K1967" s="1">
        <v>0</v>
      </c>
      <c r="L1967" s="1">
        <v>0</v>
      </c>
      <c r="M1967" s="1">
        <v>0</v>
      </c>
      <c r="N1967" s="1">
        <v>0</v>
      </c>
      <c r="O1967" s="1">
        <v>0</v>
      </c>
      <c r="P1967" s="1">
        <v>0</v>
      </c>
      <c r="Q1967" s="1">
        <v>3</v>
      </c>
      <c r="R1967" s="1">
        <v>14</v>
      </c>
      <c r="S1967" s="1">
        <v>0</v>
      </c>
      <c r="T1967" s="1">
        <v>18</v>
      </c>
      <c r="U1967" s="1">
        <v>0</v>
      </c>
      <c r="V1967" s="1">
        <v>30</v>
      </c>
    </row>
    <row r="1968" spans="1:22" x14ac:dyDescent="0.2">
      <c r="A1968" s="1" t="s">
        <v>1629</v>
      </c>
      <c r="B1968" s="1" t="s">
        <v>1975</v>
      </c>
      <c r="C1968" s="1">
        <v>0</v>
      </c>
      <c r="D1968" s="1">
        <v>0</v>
      </c>
      <c r="E1968" s="1">
        <v>0</v>
      </c>
      <c r="F1968" s="1">
        <v>0</v>
      </c>
      <c r="G1968" s="1">
        <v>0</v>
      </c>
      <c r="H1968" s="1">
        <v>0</v>
      </c>
      <c r="I1968" s="1">
        <v>0</v>
      </c>
      <c r="J1968" s="1">
        <v>0</v>
      </c>
      <c r="K1968" s="1">
        <v>0</v>
      </c>
      <c r="L1968" s="1">
        <v>0</v>
      </c>
      <c r="M1968" s="1">
        <v>0</v>
      </c>
      <c r="N1968" s="1">
        <v>0</v>
      </c>
      <c r="O1968" s="1">
        <v>0</v>
      </c>
      <c r="P1968" s="1">
        <v>0</v>
      </c>
      <c r="Q1968" s="1">
        <v>4</v>
      </c>
      <c r="R1968" s="1">
        <v>3</v>
      </c>
      <c r="S1968" s="1">
        <v>0</v>
      </c>
      <c r="T1968" s="1">
        <v>3</v>
      </c>
      <c r="U1968" s="1">
        <v>6</v>
      </c>
      <c r="V1968" s="1">
        <v>13</v>
      </c>
    </row>
    <row r="1969" spans="1:22" x14ac:dyDescent="0.2">
      <c r="A1969" s="1" t="s">
        <v>1629</v>
      </c>
      <c r="B1969" s="1" t="s">
        <v>1976</v>
      </c>
      <c r="C1969" s="1">
        <v>0</v>
      </c>
      <c r="D1969" s="1">
        <v>0</v>
      </c>
      <c r="E1969" s="1">
        <v>0</v>
      </c>
      <c r="F1969" s="1">
        <v>0</v>
      </c>
      <c r="G1969" s="1">
        <v>0</v>
      </c>
      <c r="H1969" s="1">
        <v>0</v>
      </c>
      <c r="I1969" s="1">
        <v>0</v>
      </c>
      <c r="J1969" s="1">
        <v>0</v>
      </c>
      <c r="K1969" s="1">
        <v>0</v>
      </c>
      <c r="L1969" s="1">
        <v>0</v>
      </c>
      <c r="M1969" s="1">
        <v>0</v>
      </c>
      <c r="N1969" s="1">
        <v>0</v>
      </c>
      <c r="O1969" s="1">
        <v>0</v>
      </c>
      <c r="P1969" s="1">
        <v>4</v>
      </c>
      <c r="Q1969" s="1">
        <v>0</v>
      </c>
      <c r="R1969" s="1">
        <v>4</v>
      </c>
      <c r="S1969" s="1">
        <v>10</v>
      </c>
      <c r="T1969" s="1">
        <v>11</v>
      </c>
      <c r="U1969" s="1">
        <v>102</v>
      </c>
      <c r="V1969" s="1">
        <v>22</v>
      </c>
    </row>
    <row r="1970" spans="1:22" x14ac:dyDescent="0.2">
      <c r="A1970" s="1" t="s">
        <v>1629</v>
      </c>
      <c r="B1970" s="1" t="s">
        <v>1977</v>
      </c>
      <c r="C1970" s="1">
        <v>0</v>
      </c>
      <c r="D1970" s="1">
        <v>0</v>
      </c>
      <c r="E1970" s="1">
        <v>0</v>
      </c>
      <c r="F1970" s="1">
        <v>0</v>
      </c>
      <c r="G1970" s="1">
        <v>0</v>
      </c>
      <c r="H1970" s="1">
        <v>0</v>
      </c>
      <c r="I1970" s="1">
        <v>0</v>
      </c>
      <c r="J1970" s="1">
        <v>0</v>
      </c>
      <c r="K1970" s="1">
        <v>0</v>
      </c>
      <c r="L1970" s="1">
        <v>0</v>
      </c>
      <c r="M1970" s="1">
        <v>0</v>
      </c>
      <c r="N1970" s="1">
        <v>0</v>
      </c>
      <c r="O1970" s="1">
        <v>0</v>
      </c>
      <c r="P1970" s="1">
        <v>69</v>
      </c>
      <c r="Q1970" s="1">
        <v>100</v>
      </c>
      <c r="R1970" s="1">
        <v>197</v>
      </c>
      <c r="S1970" s="1">
        <v>318</v>
      </c>
      <c r="T1970" s="1">
        <v>327</v>
      </c>
      <c r="U1970" s="1">
        <v>315</v>
      </c>
      <c r="V1970" s="1">
        <v>425</v>
      </c>
    </row>
    <row r="1971" spans="1:22" x14ac:dyDescent="0.2">
      <c r="A1971" s="1" t="s">
        <v>1629</v>
      </c>
      <c r="B1971" s="1" t="s">
        <v>1978</v>
      </c>
      <c r="C1971" s="1">
        <v>0</v>
      </c>
      <c r="D1971" s="1">
        <v>0</v>
      </c>
      <c r="E1971" s="1">
        <v>0</v>
      </c>
      <c r="F1971" s="1">
        <v>0</v>
      </c>
      <c r="G1971" s="1">
        <v>0</v>
      </c>
      <c r="H1971" s="1">
        <v>0</v>
      </c>
      <c r="I1971" s="1">
        <v>0</v>
      </c>
      <c r="J1971" s="1">
        <v>0</v>
      </c>
      <c r="K1971" s="1">
        <v>0</v>
      </c>
      <c r="L1971" s="1">
        <v>0</v>
      </c>
      <c r="M1971" s="1">
        <v>0</v>
      </c>
      <c r="N1971" s="1">
        <v>0</v>
      </c>
      <c r="O1971" s="1">
        <v>0</v>
      </c>
      <c r="P1971" s="1">
        <v>0</v>
      </c>
      <c r="Q1971" s="1">
        <v>1</v>
      </c>
      <c r="R1971" s="1">
        <v>35</v>
      </c>
      <c r="S1971" s="1">
        <v>0</v>
      </c>
      <c r="T1971" s="1">
        <v>48</v>
      </c>
      <c r="U1971" s="1">
        <v>56</v>
      </c>
      <c r="V1971" s="1">
        <v>79</v>
      </c>
    </row>
    <row r="1972" spans="1:22" x14ac:dyDescent="0.2">
      <c r="A1972" s="1" t="s">
        <v>1629</v>
      </c>
      <c r="B1972" s="1" t="s">
        <v>1979</v>
      </c>
      <c r="C1972" s="1">
        <v>0</v>
      </c>
      <c r="D1972" s="1">
        <v>0</v>
      </c>
      <c r="E1972" s="1">
        <v>0</v>
      </c>
      <c r="F1972" s="1">
        <v>0</v>
      </c>
      <c r="G1972" s="1">
        <v>0</v>
      </c>
      <c r="H1972" s="1">
        <v>0</v>
      </c>
      <c r="I1972" s="1">
        <v>0</v>
      </c>
      <c r="J1972" s="1">
        <v>0</v>
      </c>
      <c r="K1972" s="1">
        <v>0</v>
      </c>
      <c r="L1972" s="1">
        <v>0</v>
      </c>
      <c r="M1972" s="1">
        <v>0</v>
      </c>
      <c r="N1972" s="1">
        <v>0</v>
      </c>
      <c r="O1972" s="1">
        <v>75</v>
      </c>
      <c r="P1972" s="1">
        <v>88</v>
      </c>
      <c r="Q1972" s="1">
        <v>0</v>
      </c>
      <c r="R1972" s="1">
        <v>46</v>
      </c>
      <c r="S1972" s="1">
        <v>59</v>
      </c>
      <c r="T1972" s="1">
        <v>0</v>
      </c>
      <c r="U1972" s="1">
        <v>0</v>
      </c>
      <c r="V1972" s="1">
        <v>0</v>
      </c>
    </row>
    <row r="1973" spans="1:22" x14ac:dyDescent="0.2">
      <c r="A1973" s="1" t="s">
        <v>1629</v>
      </c>
      <c r="B1973" s="1" t="s">
        <v>1980</v>
      </c>
      <c r="C1973" s="1">
        <v>1181</v>
      </c>
      <c r="D1973" s="1">
        <v>1300</v>
      </c>
      <c r="E1973" s="1">
        <v>1356</v>
      </c>
      <c r="F1973" s="1">
        <v>1356</v>
      </c>
      <c r="G1973" s="1">
        <v>1388</v>
      </c>
      <c r="H1973" s="1">
        <v>1655</v>
      </c>
      <c r="I1973" s="1">
        <v>1632</v>
      </c>
      <c r="J1973" s="1">
        <v>1708</v>
      </c>
      <c r="K1973" s="1">
        <v>1765</v>
      </c>
      <c r="L1973" s="1">
        <v>1585</v>
      </c>
      <c r="M1973" s="1">
        <v>1525</v>
      </c>
      <c r="N1973" s="1">
        <v>1249</v>
      </c>
      <c r="O1973" s="1">
        <v>1110</v>
      </c>
      <c r="P1973" s="1">
        <v>855</v>
      </c>
      <c r="Q1973" s="1">
        <v>1025</v>
      </c>
      <c r="R1973" s="1">
        <v>592</v>
      </c>
      <c r="S1973" s="1">
        <v>421</v>
      </c>
      <c r="T1973" s="1">
        <v>395</v>
      </c>
      <c r="U1973" s="1">
        <v>173</v>
      </c>
      <c r="V1973" s="1">
        <v>288</v>
      </c>
    </row>
    <row r="1974" spans="1:22" x14ac:dyDescent="0.2">
      <c r="A1974" s="1" t="s">
        <v>1629</v>
      </c>
      <c r="B1974" s="1" t="s">
        <v>1981</v>
      </c>
      <c r="C1974" s="1">
        <f t="shared" ref="C1974:V1974" si="304">SUM(C1975:C1981)</f>
        <v>325</v>
      </c>
      <c r="D1974" s="1">
        <f t="shared" si="304"/>
        <v>383</v>
      </c>
      <c r="E1974" s="1">
        <f t="shared" si="304"/>
        <v>350</v>
      </c>
      <c r="F1974" s="1">
        <f t="shared" si="304"/>
        <v>478</v>
      </c>
      <c r="G1974" s="1">
        <f t="shared" si="304"/>
        <v>294</v>
      </c>
      <c r="H1974" s="1">
        <f t="shared" si="304"/>
        <v>306</v>
      </c>
      <c r="I1974" s="1">
        <f t="shared" si="304"/>
        <v>306</v>
      </c>
      <c r="J1974" s="1">
        <f t="shared" si="304"/>
        <v>254</v>
      </c>
      <c r="K1974" s="1">
        <f t="shared" si="304"/>
        <v>276</v>
      </c>
      <c r="L1974" s="1">
        <f t="shared" si="304"/>
        <v>444</v>
      </c>
      <c r="M1974" s="1">
        <f t="shared" si="304"/>
        <v>387</v>
      </c>
      <c r="N1974" s="1">
        <f t="shared" si="304"/>
        <v>304</v>
      </c>
      <c r="O1974" s="1">
        <f t="shared" si="304"/>
        <v>338</v>
      </c>
      <c r="P1974" s="1">
        <f t="shared" si="304"/>
        <v>276</v>
      </c>
      <c r="Q1974" s="1">
        <f t="shared" si="304"/>
        <v>259</v>
      </c>
      <c r="R1974" s="1">
        <f t="shared" si="304"/>
        <v>177</v>
      </c>
      <c r="S1974" s="1">
        <f t="shared" si="304"/>
        <v>135</v>
      </c>
      <c r="T1974" s="1">
        <f t="shared" si="304"/>
        <v>133</v>
      </c>
      <c r="U1974" s="1">
        <f t="shared" si="304"/>
        <v>133</v>
      </c>
      <c r="V1974" s="1">
        <f t="shared" si="304"/>
        <v>377</v>
      </c>
    </row>
    <row r="1975" spans="1:22" x14ac:dyDescent="0.2">
      <c r="A1975" s="1" t="s">
        <v>1629</v>
      </c>
      <c r="B1975" s="1" t="s">
        <v>1982</v>
      </c>
      <c r="C1975" s="1">
        <v>0</v>
      </c>
      <c r="D1975" s="1">
        <v>0</v>
      </c>
      <c r="E1975" s="1">
        <v>0</v>
      </c>
      <c r="F1975" s="1">
        <v>0</v>
      </c>
      <c r="G1975" s="1">
        <v>0</v>
      </c>
      <c r="H1975" s="1">
        <v>0</v>
      </c>
      <c r="I1975" s="1">
        <v>0</v>
      </c>
      <c r="J1975" s="1">
        <v>0</v>
      </c>
      <c r="K1975" s="1">
        <v>0</v>
      </c>
      <c r="L1975" s="1">
        <v>0</v>
      </c>
      <c r="M1975" s="1">
        <v>0</v>
      </c>
      <c r="N1975" s="1">
        <v>0</v>
      </c>
      <c r="O1975" s="1">
        <v>0</v>
      </c>
      <c r="P1975" s="1">
        <v>0</v>
      </c>
      <c r="Q1975" s="1">
        <v>4</v>
      </c>
      <c r="R1975" s="1">
        <v>20</v>
      </c>
      <c r="S1975" s="1">
        <v>6</v>
      </c>
      <c r="T1975" s="1">
        <v>35</v>
      </c>
      <c r="U1975" s="1">
        <v>6</v>
      </c>
      <c r="V1975" s="1">
        <v>5</v>
      </c>
    </row>
    <row r="1976" spans="1:22" x14ac:dyDescent="0.2">
      <c r="A1976" s="1" t="s">
        <v>1629</v>
      </c>
      <c r="B1976" s="1" t="s">
        <v>1983</v>
      </c>
      <c r="C1976" s="1">
        <v>0</v>
      </c>
      <c r="D1976" s="1">
        <v>0</v>
      </c>
      <c r="E1976" s="1">
        <v>0</v>
      </c>
      <c r="F1976" s="1">
        <v>0</v>
      </c>
      <c r="G1976" s="1">
        <v>0</v>
      </c>
      <c r="H1976" s="1">
        <v>0</v>
      </c>
      <c r="I1976" s="1">
        <v>0</v>
      </c>
      <c r="J1976" s="1">
        <v>0</v>
      </c>
      <c r="K1976" s="1">
        <v>0</v>
      </c>
      <c r="L1976" s="1">
        <v>0</v>
      </c>
      <c r="M1976" s="1">
        <v>0</v>
      </c>
      <c r="N1976" s="1">
        <v>0</v>
      </c>
      <c r="O1976" s="1">
        <v>0</v>
      </c>
      <c r="P1976" s="1">
        <v>0</v>
      </c>
      <c r="Q1976" s="1">
        <v>5</v>
      </c>
      <c r="R1976" s="1">
        <v>17</v>
      </c>
      <c r="S1976" s="1">
        <v>0</v>
      </c>
      <c r="T1976" s="1">
        <v>7</v>
      </c>
      <c r="U1976" s="1">
        <v>19</v>
      </c>
      <c r="V1976" s="1">
        <v>40</v>
      </c>
    </row>
    <row r="1977" spans="1:22" x14ac:dyDescent="0.2">
      <c r="A1977" s="1" t="s">
        <v>1629</v>
      </c>
      <c r="B1977" s="1" t="s">
        <v>1984</v>
      </c>
      <c r="C1977" s="1">
        <v>0</v>
      </c>
      <c r="D1977" s="1">
        <v>0</v>
      </c>
      <c r="E1977" s="1">
        <v>0</v>
      </c>
      <c r="F1977" s="1">
        <v>0</v>
      </c>
      <c r="G1977" s="1">
        <v>0</v>
      </c>
      <c r="H1977" s="1">
        <v>0</v>
      </c>
      <c r="I1977" s="1">
        <v>0</v>
      </c>
      <c r="J1977" s="1">
        <v>0</v>
      </c>
      <c r="K1977" s="1">
        <v>0</v>
      </c>
      <c r="L1977" s="1">
        <v>0</v>
      </c>
      <c r="M1977" s="1">
        <v>0</v>
      </c>
      <c r="N1977" s="1">
        <v>0</v>
      </c>
      <c r="O1977" s="1">
        <v>0</v>
      </c>
      <c r="P1977" s="1">
        <v>0</v>
      </c>
      <c r="Q1977" s="1">
        <v>0</v>
      </c>
      <c r="R1977" s="1">
        <v>0</v>
      </c>
      <c r="S1977" s="1">
        <v>6</v>
      </c>
      <c r="T1977" s="1">
        <v>6</v>
      </c>
      <c r="U1977" s="1">
        <v>9</v>
      </c>
      <c r="V1977" s="1">
        <v>14</v>
      </c>
    </row>
    <row r="1978" spans="1:22" x14ac:dyDescent="0.2">
      <c r="A1978" s="1" t="s">
        <v>1629</v>
      </c>
      <c r="B1978" s="1" t="s">
        <v>1985</v>
      </c>
      <c r="C1978" s="1">
        <v>0</v>
      </c>
      <c r="D1978" s="1">
        <v>0</v>
      </c>
      <c r="E1978" s="1">
        <v>0</v>
      </c>
      <c r="F1978" s="1">
        <v>0</v>
      </c>
      <c r="G1978" s="1">
        <v>0</v>
      </c>
      <c r="H1978" s="1">
        <v>0</v>
      </c>
      <c r="I1978" s="1">
        <v>0</v>
      </c>
      <c r="J1978" s="1">
        <v>0</v>
      </c>
      <c r="K1978" s="1">
        <v>0</v>
      </c>
      <c r="L1978" s="1">
        <v>0</v>
      </c>
      <c r="M1978" s="1">
        <v>0</v>
      </c>
      <c r="N1978" s="1">
        <v>0</v>
      </c>
      <c r="O1978" s="1">
        <v>0</v>
      </c>
      <c r="P1978" s="1">
        <v>0</v>
      </c>
      <c r="Q1978" s="1">
        <v>0</v>
      </c>
      <c r="R1978" s="1">
        <v>0</v>
      </c>
      <c r="S1978" s="1">
        <v>5</v>
      </c>
      <c r="T1978" s="1">
        <v>2</v>
      </c>
      <c r="U1978" s="1">
        <v>4</v>
      </c>
      <c r="V1978" s="1">
        <v>3</v>
      </c>
    </row>
    <row r="1979" spans="1:22" x14ac:dyDescent="0.2">
      <c r="A1979" s="1" t="s">
        <v>1629</v>
      </c>
      <c r="B1979" s="1" t="s">
        <v>1986</v>
      </c>
      <c r="C1979" s="1">
        <v>0</v>
      </c>
      <c r="D1979" s="1">
        <v>0</v>
      </c>
      <c r="E1979" s="1">
        <v>0</v>
      </c>
      <c r="F1979" s="1">
        <v>0</v>
      </c>
      <c r="G1979" s="1">
        <v>0</v>
      </c>
      <c r="H1979" s="1">
        <v>0</v>
      </c>
      <c r="I1979" s="1">
        <v>0</v>
      </c>
      <c r="J1979" s="1">
        <v>0</v>
      </c>
      <c r="K1979" s="1">
        <v>0</v>
      </c>
      <c r="L1979" s="1">
        <v>0</v>
      </c>
      <c r="M1979" s="1">
        <v>0</v>
      </c>
      <c r="N1979" s="1">
        <v>0</v>
      </c>
      <c r="O1979" s="1">
        <v>0</v>
      </c>
      <c r="P1979" s="1">
        <v>0</v>
      </c>
      <c r="Q1979" s="1">
        <v>0</v>
      </c>
      <c r="R1979" s="1">
        <v>0</v>
      </c>
      <c r="S1979" s="1">
        <v>1</v>
      </c>
      <c r="T1979" s="1">
        <v>2</v>
      </c>
      <c r="U1979" s="1">
        <v>0</v>
      </c>
      <c r="V1979" s="1">
        <v>0</v>
      </c>
    </row>
    <row r="1980" spans="1:22" x14ac:dyDescent="0.2">
      <c r="A1980" s="1" t="s">
        <v>1629</v>
      </c>
      <c r="B1980" s="1" t="s">
        <v>1987</v>
      </c>
      <c r="C1980" s="1">
        <v>0</v>
      </c>
      <c r="D1980" s="1">
        <v>0</v>
      </c>
      <c r="E1980" s="1">
        <v>0</v>
      </c>
      <c r="F1980" s="1">
        <v>0</v>
      </c>
      <c r="G1980" s="1">
        <v>0</v>
      </c>
      <c r="H1980" s="1">
        <v>0</v>
      </c>
      <c r="I1980" s="1">
        <v>0</v>
      </c>
      <c r="J1980" s="1">
        <v>0</v>
      </c>
      <c r="K1980" s="1">
        <v>0</v>
      </c>
      <c r="L1980" s="1">
        <v>0</v>
      </c>
      <c r="M1980" s="1">
        <v>0</v>
      </c>
      <c r="N1980" s="1">
        <v>0</v>
      </c>
      <c r="O1980" s="1">
        <v>0</v>
      </c>
      <c r="P1980" s="1">
        <v>0</v>
      </c>
      <c r="Q1980" s="1">
        <v>0</v>
      </c>
      <c r="R1980" s="1">
        <v>0</v>
      </c>
      <c r="S1980" s="1">
        <v>0</v>
      </c>
      <c r="T1980" s="1">
        <v>1</v>
      </c>
      <c r="U1980" s="1">
        <v>8</v>
      </c>
      <c r="V1980" s="1">
        <v>2</v>
      </c>
    </row>
    <row r="1981" spans="1:22" x14ac:dyDescent="0.2">
      <c r="A1981" s="1" t="s">
        <v>1629</v>
      </c>
      <c r="B1981" s="1" t="s">
        <v>1988</v>
      </c>
      <c r="C1981" s="1">
        <v>325</v>
      </c>
      <c r="D1981" s="1">
        <v>383</v>
      </c>
      <c r="E1981" s="1">
        <v>350</v>
      </c>
      <c r="F1981" s="1">
        <v>478</v>
      </c>
      <c r="G1981" s="1">
        <v>294</v>
      </c>
      <c r="H1981" s="1">
        <v>306</v>
      </c>
      <c r="I1981" s="1">
        <v>306</v>
      </c>
      <c r="J1981" s="1">
        <v>254</v>
      </c>
      <c r="K1981" s="1">
        <v>276</v>
      </c>
      <c r="L1981" s="1">
        <v>444</v>
      </c>
      <c r="M1981" s="1">
        <v>387</v>
      </c>
      <c r="N1981" s="1">
        <v>304</v>
      </c>
      <c r="O1981" s="1">
        <v>338</v>
      </c>
      <c r="P1981" s="1">
        <v>276</v>
      </c>
      <c r="Q1981" s="1">
        <v>250</v>
      </c>
      <c r="R1981" s="1">
        <v>140</v>
      </c>
      <c r="S1981" s="1">
        <v>117</v>
      </c>
      <c r="T1981" s="1">
        <v>80</v>
      </c>
      <c r="U1981" s="1">
        <v>87</v>
      </c>
      <c r="V1981" s="1">
        <v>313</v>
      </c>
    </row>
    <row r="1982" spans="1:22" x14ac:dyDescent="0.2">
      <c r="A1982" s="1" t="s">
        <v>1629</v>
      </c>
      <c r="B1982" s="1" t="s">
        <v>1989</v>
      </c>
      <c r="C1982" s="1">
        <f t="shared" ref="C1982:K1982" si="305">SUM(C1983:C1993)</f>
        <v>158</v>
      </c>
      <c r="D1982" s="1">
        <f t="shared" si="305"/>
        <v>268</v>
      </c>
      <c r="E1982" s="1">
        <f t="shared" si="305"/>
        <v>204</v>
      </c>
      <c r="F1982" s="1">
        <f t="shared" si="305"/>
        <v>178</v>
      </c>
      <c r="G1982" s="1">
        <f t="shared" si="305"/>
        <v>259</v>
      </c>
      <c r="H1982" s="1">
        <f t="shared" si="305"/>
        <v>158</v>
      </c>
      <c r="I1982" s="1">
        <f t="shared" si="305"/>
        <v>110</v>
      </c>
      <c r="J1982" s="1">
        <f t="shared" si="305"/>
        <v>209</v>
      </c>
      <c r="K1982" s="1">
        <f t="shared" si="305"/>
        <v>169</v>
      </c>
      <c r="L1982" s="1">
        <f>SUM(L1983:L1993)</f>
        <v>122</v>
      </c>
      <c r="M1982" s="1">
        <f>SUM(M1983:M1993)</f>
        <v>410</v>
      </c>
      <c r="N1982" s="1">
        <f>SUM(N1983:N1993)</f>
        <v>314</v>
      </c>
      <c r="O1982" s="1">
        <f t="shared" ref="O1982:V1982" si="306">SUM(O1983:O1993)</f>
        <v>706</v>
      </c>
      <c r="P1982" s="1">
        <f t="shared" si="306"/>
        <v>306</v>
      </c>
      <c r="Q1982" s="1">
        <f t="shared" si="306"/>
        <v>245</v>
      </c>
      <c r="R1982" s="1">
        <f t="shared" si="306"/>
        <v>290</v>
      </c>
      <c r="S1982" s="1">
        <f t="shared" si="306"/>
        <v>335</v>
      </c>
      <c r="T1982" s="1">
        <f t="shared" si="306"/>
        <v>127</v>
      </c>
      <c r="U1982" s="1">
        <f t="shared" si="306"/>
        <v>255</v>
      </c>
      <c r="V1982" s="1">
        <f t="shared" si="306"/>
        <v>329</v>
      </c>
    </row>
    <row r="1983" spans="1:22" x14ac:dyDescent="0.2">
      <c r="A1983" s="1" t="s">
        <v>1629</v>
      </c>
      <c r="B1983" s="1" t="s">
        <v>1990</v>
      </c>
      <c r="C1983" s="1">
        <v>30</v>
      </c>
      <c r="D1983" s="1">
        <v>73</v>
      </c>
      <c r="E1983" s="1">
        <v>110</v>
      </c>
      <c r="F1983" s="1">
        <v>92</v>
      </c>
      <c r="G1983" s="1">
        <v>57</v>
      </c>
      <c r="H1983" s="1">
        <v>78</v>
      </c>
      <c r="I1983" s="1">
        <v>44</v>
      </c>
      <c r="J1983" s="1">
        <v>119</v>
      </c>
      <c r="K1983" s="1">
        <v>118</v>
      </c>
      <c r="L1983" s="1">
        <v>84</v>
      </c>
      <c r="M1983" s="1">
        <v>132</v>
      </c>
      <c r="N1983" s="1">
        <v>137</v>
      </c>
      <c r="O1983" s="1">
        <v>122</v>
      </c>
      <c r="P1983" s="1">
        <v>13</v>
      </c>
      <c r="Q1983" s="1">
        <v>3</v>
      </c>
      <c r="R1983" s="1">
        <v>9</v>
      </c>
      <c r="S1983" s="1">
        <v>64</v>
      </c>
      <c r="T1983" s="1">
        <v>48</v>
      </c>
      <c r="U1983" s="1">
        <v>45</v>
      </c>
      <c r="V1983" s="1">
        <v>67</v>
      </c>
    </row>
    <row r="1984" spans="1:22" x14ac:dyDescent="0.2">
      <c r="A1984" s="1" t="s">
        <v>1629</v>
      </c>
      <c r="B1984" s="1" t="s">
        <v>1991</v>
      </c>
      <c r="C1984" s="1">
        <v>0</v>
      </c>
      <c r="D1984" s="1">
        <v>0</v>
      </c>
      <c r="E1984" s="1">
        <v>0</v>
      </c>
      <c r="F1984" s="1">
        <v>0</v>
      </c>
      <c r="G1984" s="1">
        <v>0</v>
      </c>
      <c r="H1984" s="1">
        <v>0</v>
      </c>
      <c r="I1984" s="1">
        <v>0</v>
      </c>
      <c r="J1984" s="1">
        <v>0</v>
      </c>
      <c r="K1984" s="1">
        <v>0</v>
      </c>
      <c r="L1984" s="1">
        <v>0</v>
      </c>
      <c r="M1984" s="1">
        <v>0</v>
      </c>
      <c r="N1984" s="1">
        <v>0</v>
      </c>
      <c r="O1984" s="1">
        <v>0</v>
      </c>
      <c r="P1984" s="1">
        <v>0</v>
      </c>
      <c r="Q1984" s="1">
        <v>0</v>
      </c>
      <c r="R1984" s="1">
        <v>0</v>
      </c>
      <c r="S1984" s="1">
        <v>1</v>
      </c>
      <c r="T1984" s="1">
        <v>3</v>
      </c>
      <c r="U1984" s="1">
        <v>1</v>
      </c>
      <c r="V1984" s="1">
        <v>7</v>
      </c>
    </row>
    <row r="1985" spans="1:22" x14ac:dyDescent="0.2">
      <c r="A1985" s="1" t="s">
        <v>1629</v>
      </c>
      <c r="B1985" s="1" t="s">
        <v>1992</v>
      </c>
      <c r="C1985" s="1">
        <v>125</v>
      </c>
      <c r="D1985" s="1">
        <v>105</v>
      </c>
      <c r="E1985" s="1">
        <v>79</v>
      </c>
      <c r="F1985" s="1">
        <v>84</v>
      </c>
      <c r="G1985" s="1">
        <v>197</v>
      </c>
      <c r="H1985" s="1">
        <v>77</v>
      </c>
      <c r="I1985" s="1">
        <v>62</v>
      </c>
      <c r="J1985" s="1">
        <v>83</v>
      </c>
      <c r="K1985" s="1">
        <v>50</v>
      </c>
      <c r="L1985" s="1">
        <v>34</v>
      </c>
      <c r="M1985" s="1">
        <v>53</v>
      </c>
      <c r="N1985" s="1">
        <v>73</v>
      </c>
      <c r="O1985" s="1">
        <v>104</v>
      </c>
      <c r="P1985" s="1">
        <v>68</v>
      </c>
      <c r="Q1985" s="1">
        <v>40</v>
      </c>
      <c r="R1985" s="1">
        <v>12</v>
      </c>
      <c r="S1985" s="1">
        <v>19</v>
      </c>
      <c r="T1985" s="1">
        <v>20</v>
      </c>
      <c r="U1985" s="1">
        <v>14</v>
      </c>
      <c r="V1985" s="1">
        <v>32</v>
      </c>
    </row>
    <row r="1986" spans="1:22" x14ac:dyDescent="0.2">
      <c r="A1986" s="1" t="s">
        <v>1629</v>
      </c>
      <c r="B1986" s="1" t="s">
        <v>1993</v>
      </c>
      <c r="C1986" s="1">
        <v>3</v>
      </c>
      <c r="D1986" s="1">
        <v>5</v>
      </c>
      <c r="E1986" s="1">
        <v>1</v>
      </c>
      <c r="F1986" s="1">
        <v>2</v>
      </c>
      <c r="G1986" s="1">
        <v>0</v>
      </c>
      <c r="H1986" s="1">
        <v>1</v>
      </c>
      <c r="I1986" s="1">
        <v>1</v>
      </c>
      <c r="J1986" s="1">
        <v>3</v>
      </c>
      <c r="K1986" s="1">
        <v>1</v>
      </c>
      <c r="L1986" s="1">
        <v>2</v>
      </c>
      <c r="M1986" s="1">
        <v>3</v>
      </c>
      <c r="N1986" s="1">
        <v>1</v>
      </c>
      <c r="V1986" s="1">
        <v>0</v>
      </c>
    </row>
    <row r="1987" spans="1:22" x14ac:dyDescent="0.2">
      <c r="A1987" s="1" t="s">
        <v>1629</v>
      </c>
      <c r="B1987" s="1" t="s">
        <v>1994</v>
      </c>
      <c r="C1987" s="1">
        <v>0</v>
      </c>
      <c r="D1987" s="1">
        <v>0</v>
      </c>
      <c r="E1987" s="1">
        <v>0</v>
      </c>
      <c r="F1987" s="1">
        <v>0</v>
      </c>
      <c r="G1987" s="1">
        <v>0</v>
      </c>
      <c r="H1987" s="1">
        <v>0</v>
      </c>
      <c r="I1987" s="1">
        <v>0</v>
      </c>
      <c r="J1987" s="1">
        <v>0</v>
      </c>
      <c r="K1987" s="1">
        <v>0</v>
      </c>
      <c r="L1987" s="1">
        <v>0</v>
      </c>
      <c r="M1987" s="1">
        <v>0</v>
      </c>
      <c r="N1987" s="1">
        <v>0</v>
      </c>
      <c r="O1987" s="1">
        <v>0</v>
      </c>
      <c r="P1987" s="1">
        <v>0</v>
      </c>
      <c r="Q1987" s="1">
        <v>24</v>
      </c>
      <c r="R1987" s="1">
        <v>11</v>
      </c>
      <c r="S1987" s="1">
        <v>1</v>
      </c>
      <c r="T1987" s="1">
        <v>21</v>
      </c>
      <c r="U1987" s="1">
        <v>133</v>
      </c>
      <c r="V1987" s="1">
        <v>167</v>
      </c>
    </row>
    <row r="1988" spans="1:22" x14ac:dyDescent="0.2">
      <c r="A1988" s="1" t="s">
        <v>1629</v>
      </c>
      <c r="B1988" s="1" t="s">
        <v>1995</v>
      </c>
      <c r="C1988" s="1">
        <v>0</v>
      </c>
      <c r="D1988" s="1">
        <v>0</v>
      </c>
      <c r="E1988" s="1">
        <v>0</v>
      </c>
      <c r="F1988" s="1">
        <v>0</v>
      </c>
      <c r="G1988" s="1">
        <v>0</v>
      </c>
      <c r="H1988" s="1">
        <v>0</v>
      </c>
      <c r="I1988" s="1">
        <v>0</v>
      </c>
      <c r="J1988" s="1">
        <v>0</v>
      </c>
      <c r="K1988" s="1">
        <v>0</v>
      </c>
      <c r="L1988" s="1">
        <v>0</v>
      </c>
      <c r="M1988" s="1">
        <v>0</v>
      </c>
      <c r="N1988" s="1">
        <v>0</v>
      </c>
      <c r="O1988" s="1">
        <v>0</v>
      </c>
      <c r="P1988" s="1">
        <v>0</v>
      </c>
      <c r="Q1988" s="1">
        <v>0</v>
      </c>
      <c r="R1988" s="1">
        <v>0</v>
      </c>
      <c r="S1988" s="1">
        <v>0</v>
      </c>
      <c r="T1988" s="1">
        <v>1</v>
      </c>
      <c r="U1988" s="1">
        <v>1</v>
      </c>
      <c r="V1988" s="1">
        <v>0</v>
      </c>
    </row>
    <row r="1989" spans="1:22" x14ac:dyDescent="0.2">
      <c r="A1989" s="1" t="s">
        <v>1629</v>
      </c>
      <c r="B1989" s="1" t="s">
        <v>1996</v>
      </c>
      <c r="C1989" s="1">
        <v>0</v>
      </c>
      <c r="D1989" s="1">
        <v>0</v>
      </c>
      <c r="E1989" s="1">
        <v>0</v>
      </c>
      <c r="F1989" s="1">
        <v>0</v>
      </c>
      <c r="G1989" s="1">
        <v>0</v>
      </c>
      <c r="H1989" s="1">
        <v>0</v>
      </c>
      <c r="I1989" s="1">
        <v>0</v>
      </c>
      <c r="J1989" s="1">
        <v>0</v>
      </c>
      <c r="K1989" s="1">
        <v>0</v>
      </c>
      <c r="L1989" s="1">
        <v>0</v>
      </c>
      <c r="M1989" s="1">
        <v>0</v>
      </c>
      <c r="N1989" s="1">
        <v>0</v>
      </c>
      <c r="O1989" s="1">
        <v>0</v>
      </c>
      <c r="P1989" s="1">
        <v>27</v>
      </c>
      <c r="Q1989" s="1">
        <v>22</v>
      </c>
      <c r="R1989" s="1">
        <v>30</v>
      </c>
      <c r="S1989" s="1">
        <v>17</v>
      </c>
      <c r="T1989" s="1">
        <v>6</v>
      </c>
      <c r="U1989" s="1">
        <v>0</v>
      </c>
      <c r="V1989" s="1">
        <v>4</v>
      </c>
    </row>
    <row r="1990" spans="1:22" x14ac:dyDescent="0.2">
      <c r="A1990" s="1" t="s">
        <v>1629</v>
      </c>
      <c r="B1990" s="1" t="s">
        <v>1997</v>
      </c>
      <c r="C1990" s="1">
        <v>0</v>
      </c>
      <c r="D1990" s="1">
        <v>0</v>
      </c>
      <c r="E1990" s="1">
        <v>0</v>
      </c>
      <c r="F1990" s="1">
        <v>0</v>
      </c>
      <c r="G1990" s="1">
        <v>0</v>
      </c>
      <c r="H1990" s="1">
        <v>0</v>
      </c>
      <c r="I1990" s="1">
        <v>0</v>
      </c>
      <c r="J1990" s="1">
        <v>0</v>
      </c>
      <c r="K1990" s="1">
        <v>0</v>
      </c>
      <c r="L1990" s="1">
        <v>0</v>
      </c>
      <c r="M1990" s="1">
        <v>0</v>
      </c>
      <c r="N1990" s="1">
        <v>0</v>
      </c>
      <c r="O1990" s="1">
        <v>0</v>
      </c>
      <c r="P1990" s="1">
        <v>138</v>
      </c>
      <c r="Q1990" s="1">
        <v>114</v>
      </c>
      <c r="R1990" s="1">
        <v>202</v>
      </c>
      <c r="S1990" s="1">
        <v>209</v>
      </c>
      <c r="T1990" s="1">
        <v>0</v>
      </c>
      <c r="U1990" s="1">
        <v>31</v>
      </c>
      <c r="V1990" s="1">
        <v>36</v>
      </c>
    </row>
    <row r="1991" spans="1:22" x14ac:dyDescent="0.2">
      <c r="A1991" s="1" t="s">
        <v>1629</v>
      </c>
      <c r="B1991" s="1" t="s">
        <v>1998</v>
      </c>
      <c r="C1991" s="1">
        <v>0</v>
      </c>
      <c r="D1991" s="1">
        <v>0</v>
      </c>
      <c r="E1991" s="1">
        <v>0</v>
      </c>
      <c r="F1991" s="1">
        <v>0</v>
      </c>
      <c r="G1991" s="1">
        <v>0</v>
      </c>
      <c r="H1991" s="1">
        <v>0</v>
      </c>
      <c r="I1991" s="1">
        <v>0</v>
      </c>
      <c r="J1991" s="1">
        <v>0</v>
      </c>
      <c r="K1991" s="1">
        <v>0</v>
      </c>
      <c r="L1991" s="1">
        <v>0</v>
      </c>
      <c r="M1991" s="1">
        <v>0</v>
      </c>
      <c r="N1991" s="1">
        <v>0</v>
      </c>
      <c r="O1991" s="1">
        <v>0</v>
      </c>
      <c r="P1991" s="1">
        <v>1</v>
      </c>
      <c r="Q1991" s="1">
        <v>1</v>
      </c>
      <c r="R1991" s="1">
        <v>1</v>
      </c>
      <c r="S1991" s="1">
        <v>4</v>
      </c>
      <c r="T1991" s="1">
        <v>10</v>
      </c>
      <c r="U1991" s="1">
        <v>18</v>
      </c>
      <c r="V1991" s="1">
        <v>3</v>
      </c>
    </row>
    <row r="1992" spans="1:22" x14ac:dyDescent="0.2">
      <c r="A1992" s="1" t="s">
        <v>1629</v>
      </c>
      <c r="B1992" s="1" t="s">
        <v>1999</v>
      </c>
      <c r="C1992" s="1">
        <v>0</v>
      </c>
      <c r="D1992" s="1">
        <v>0</v>
      </c>
      <c r="E1992" s="1">
        <v>0</v>
      </c>
      <c r="F1992" s="1">
        <v>0</v>
      </c>
      <c r="G1992" s="1">
        <v>0</v>
      </c>
      <c r="H1992" s="1">
        <v>0</v>
      </c>
      <c r="I1992" s="1">
        <v>0</v>
      </c>
      <c r="J1992" s="1">
        <v>0</v>
      </c>
      <c r="K1992" s="1">
        <v>0</v>
      </c>
      <c r="L1992" s="1">
        <v>0</v>
      </c>
      <c r="M1992" s="1">
        <v>0</v>
      </c>
      <c r="N1992" s="1">
        <v>0</v>
      </c>
      <c r="O1992" s="1">
        <v>0</v>
      </c>
      <c r="P1992" s="1">
        <v>1</v>
      </c>
      <c r="Q1992" s="1">
        <v>1</v>
      </c>
      <c r="R1992" s="1">
        <v>0</v>
      </c>
      <c r="S1992" s="1">
        <v>0</v>
      </c>
      <c r="T1992" s="1">
        <v>0</v>
      </c>
      <c r="U1992" s="1">
        <v>0</v>
      </c>
      <c r="V1992" s="1">
        <v>0</v>
      </c>
    </row>
    <row r="1993" spans="1:22" x14ac:dyDescent="0.2">
      <c r="A1993" s="1" t="s">
        <v>1629</v>
      </c>
      <c r="B1993" s="1" t="s">
        <v>2000</v>
      </c>
      <c r="C1993" s="1">
        <v>0</v>
      </c>
      <c r="D1993" s="1">
        <v>85</v>
      </c>
      <c r="E1993" s="1">
        <v>14</v>
      </c>
      <c r="F1993" s="1">
        <v>0</v>
      </c>
      <c r="G1993" s="1">
        <v>5</v>
      </c>
      <c r="H1993" s="1">
        <v>2</v>
      </c>
      <c r="I1993" s="1">
        <v>3</v>
      </c>
      <c r="J1993" s="1">
        <v>4</v>
      </c>
      <c r="K1993" s="1">
        <v>0</v>
      </c>
      <c r="L1993" s="1">
        <v>2</v>
      </c>
      <c r="M1993" s="1">
        <v>222</v>
      </c>
      <c r="N1993" s="1">
        <v>103</v>
      </c>
      <c r="O1993" s="1">
        <v>480</v>
      </c>
      <c r="P1993" s="1">
        <v>58</v>
      </c>
      <c r="Q1993" s="1">
        <v>40</v>
      </c>
      <c r="R1993" s="1">
        <v>25</v>
      </c>
      <c r="S1993" s="1">
        <v>20</v>
      </c>
      <c r="T1993" s="1">
        <v>18</v>
      </c>
      <c r="U1993" s="1">
        <v>12</v>
      </c>
      <c r="V1993" s="1">
        <v>13</v>
      </c>
    </row>
    <row r="1994" spans="1:22" x14ac:dyDescent="0.2">
      <c r="A1994" s="1" t="s">
        <v>1629</v>
      </c>
      <c r="B1994" s="1" t="s">
        <v>2001</v>
      </c>
      <c r="C1994" s="1">
        <f t="shared" ref="C1994:K1994" si="307">SUM(C1995:C2001)</f>
        <v>0</v>
      </c>
      <c r="D1994" s="1">
        <f t="shared" si="307"/>
        <v>0</v>
      </c>
      <c r="E1994" s="1">
        <f t="shared" si="307"/>
        <v>2</v>
      </c>
      <c r="F1994" s="1">
        <f t="shared" si="307"/>
        <v>0</v>
      </c>
      <c r="G1994" s="1">
        <f t="shared" si="307"/>
        <v>18</v>
      </c>
      <c r="H1994" s="1">
        <f t="shared" si="307"/>
        <v>44</v>
      </c>
      <c r="I1994" s="1">
        <f t="shared" si="307"/>
        <v>34</v>
      </c>
      <c r="J1994" s="1">
        <f t="shared" si="307"/>
        <v>84</v>
      </c>
      <c r="K1994" s="1">
        <f t="shared" si="307"/>
        <v>255</v>
      </c>
      <c r="L1994" s="1">
        <f>SUM(L1995:L2001)</f>
        <v>638</v>
      </c>
      <c r="M1994" s="1">
        <f>SUM(M1995:M2001)</f>
        <v>680</v>
      </c>
      <c r="N1994" s="1">
        <f>SUM(N1995:N2001)</f>
        <v>939</v>
      </c>
      <c r="O1994" s="1">
        <f t="shared" ref="O1994:V1994" si="308">SUM(O1995:O2001)</f>
        <v>1486</v>
      </c>
      <c r="P1994" s="1">
        <f t="shared" si="308"/>
        <v>1636</v>
      </c>
      <c r="Q1994" s="1">
        <f t="shared" si="308"/>
        <v>1836</v>
      </c>
      <c r="R1994" s="1">
        <f t="shared" si="308"/>
        <v>1988</v>
      </c>
      <c r="S1994" s="1">
        <f t="shared" si="308"/>
        <v>2575</v>
      </c>
      <c r="T1994" s="1">
        <f t="shared" si="308"/>
        <v>2169</v>
      </c>
      <c r="U1994" s="1">
        <f t="shared" si="308"/>
        <v>2309</v>
      </c>
      <c r="V1994" s="1">
        <f t="shared" si="308"/>
        <v>2558</v>
      </c>
    </row>
    <row r="1995" spans="1:22" x14ac:dyDescent="0.2">
      <c r="A1995" s="1" t="s">
        <v>1629</v>
      </c>
      <c r="B1995" s="1" t="s">
        <v>2002</v>
      </c>
      <c r="C1995" s="1">
        <v>0</v>
      </c>
      <c r="D1995" s="1">
        <v>0</v>
      </c>
      <c r="E1995" s="1">
        <v>0</v>
      </c>
      <c r="F1995" s="1">
        <v>0</v>
      </c>
      <c r="G1995" s="1">
        <v>0</v>
      </c>
      <c r="H1995" s="1">
        <v>0</v>
      </c>
      <c r="I1995" s="1">
        <v>0</v>
      </c>
      <c r="J1995" s="1">
        <v>0</v>
      </c>
      <c r="K1995" s="1">
        <v>0</v>
      </c>
      <c r="L1995" s="1">
        <v>309</v>
      </c>
      <c r="M1995" s="1">
        <v>222</v>
      </c>
      <c r="N1995" s="1">
        <v>389</v>
      </c>
      <c r="O1995" s="1">
        <v>541</v>
      </c>
      <c r="P1995" s="1">
        <v>668</v>
      </c>
      <c r="Q1995" s="1">
        <v>566</v>
      </c>
      <c r="R1995" s="1">
        <v>391</v>
      </c>
      <c r="S1995" s="1">
        <v>746</v>
      </c>
      <c r="T1995" s="1">
        <v>664</v>
      </c>
      <c r="U1995" s="1">
        <v>652</v>
      </c>
      <c r="V1995" s="1">
        <v>704</v>
      </c>
    </row>
    <row r="1996" spans="1:22" x14ac:dyDescent="0.2">
      <c r="A1996" s="1" t="s">
        <v>1629</v>
      </c>
      <c r="B1996" s="1" t="s">
        <v>2003</v>
      </c>
      <c r="C1996" s="1">
        <v>0</v>
      </c>
      <c r="D1996" s="1">
        <v>0</v>
      </c>
      <c r="E1996" s="1">
        <v>0</v>
      </c>
      <c r="F1996" s="1">
        <v>0</v>
      </c>
      <c r="G1996" s="1">
        <v>0</v>
      </c>
      <c r="H1996" s="1">
        <v>0</v>
      </c>
      <c r="I1996" s="1">
        <v>0</v>
      </c>
      <c r="J1996" s="1">
        <v>0</v>
      </c>
      <c r="K1996" s="1">
        <v>0</v>
      </c>
      <c r="L1996" s="1">
        <v>0</v>
      </c>
      <c r="M1996" s="1">
        <v>0</v>
      </c>
      <c r="N1996" s="1">
        <v>0</v>
      </c>
      <c r="O1996" s="1">
        <v>0</v>
      </c>
      <c r="P1996" s="1">
        <v>0</v>
      </c>
      <c r="Q1996" s="1">
        <v>1</v>
      </c>
      <c r="R1996" s="1">
        <v>4</v>
      </c>
      <c r="S1996" s="1">
        <v>0</v>
      </c>
      <c r="T1996" s="1">
        <v>0</v>
      </c>
      <c r="U1996" s="1">
        <v>0</v>
      </c>
      <c r="V1996" s="1">
        <v>0</v>
      </c>
    </row>
    <row r="1997" spans="1:22" x14ac:dyDescent="0.2">
      <c r="A1997" s="1" t="s">
        <v>1629</v>
      </c>
      <c r="B1997" s="1" t="s">
        <v>2004</v>
      </c>
      <c r="C1997" s="1">
        <v>0</v>
      </c>
      <c r="D1997" s="1">
        <v>0</v>
      </c>
      <c r="E1997" s="1">
        <v>0</v>
      </c>
      <c r="F1997" s="1">
        <v>0</v>
      </c>
      <c r="G1997" s="1">
        <v>0</v>
      </c>
      <c r="H1997" s="1">
        <v>0</v>
      </c>
      <c r="I1997" s="1">
        <v>0</v>
      </c>
      <c r="J1997" s="1">
        <v>0</v>
      </c>
      <c r="K1997" s="1">
        <v>0</v>
      </c>
      <c r="L1997" s="1">
        <v>85</v>
      </c>
      <c r="M1997" s="1">
        <v>203</v>
      </c>
      <c r="N1997" s="1">
        <v>314</v>
      </c>
      <c r="O1997" s="1">
        <v>465</v>
      </c>
      <c r="P1997" s="1">
        <v>665</v>
      </c>
      <c r="Q1997" s="1">
        <v>972</v>
      </c>
      <c r="R1997" s="1">
        <v>499</v>
      </c>
      <c r="S1997" s="1">
        <v>541</v>
      </c>
      <c r="T1997" s="1">
        <v>691</v>
      </c>
      <c r="U1997" s="1">
        <v>671</v>
      </c>
      <c r="V1997" s="1">
        <v>591</v>
      </c>
    </row>
    <row r="1998" spans="1:22" x14ac:dyDescent="0.2">
      <c r="A1998" s="1" t="s">
        <v>1629</v>
      </c>
      <c r="B1998" s="1" t="s">
        <v>2005</v>
      </c>
      <c r="C1998" s="1">
        <v>0</v>
      </c>
      <c r="D1998" s="1">
        <v>0</v>
      </c>
      <c r="E1998" s="1">
        <v>0</v>
      </c>
      <c r="F1998" s="1">
        <v>0</v>
      </c>
      <c r="G1998" s="1">
        <v>0</v>
      </c>
      <c r="H1998" s="1">
        <v>0</v>
      </c>
      <c r="I1998" s="1">
        <v>0</v>
      </c>
      <c r="J1998" s="1">
        <v>0</v>
      </c>
      <c r="K1998" s="1">
        <v>0</v>
      </c>
      <c r="L1998" s="1">
        <v>0</v>
      </c>
      <c r="M1998" s="1">
        <v>0</v>
      </c>
      <c r="N1998" s="1">
        <v>0</v>
      </c>
      <c r="O1998" s="1">
        <v>0</v>
      </c>
      <c r="P1998" s="1">
        <v>22</v>
      </c>
      <c r="Q1998" s="1">
        <v>12</v>
      </c>
      <c r="R1998" s="1">
        <v>1</v>
      </c>
      <c r="S1998" s="1">
        <v>4</v>
      </c>
      <c r="T1998" s="1">
        <v>0</v>
      </c>
      <c r="U1998" s="1">
        <v>5</v>
      </c>
      <c r="V1998" s="1">
        <v>3</v>
      </c>
    </row>
    <row r="1999" spans="1:22" x14ac:dyDescent="0.2">
      <c r="A1999" s="1" t="s">
        <v>1629</v>
      </c>
      <c r="B1999" s="1" t="s">
        <v>2006</v>
      </c>
      <c r="C1999" s="1">
        <v>0</v>
      </c>
      <c r="D1999" s="1">
        <v>0</v>
      </c>
      <c r="E1999" s="1">
        <v>0</v>
      </c>
      <c r="F1999" s="1">
        <v>0</v>
      </c>
      <c r="G1999" s="1">
        <v>0</v>
      </c>
      <c r="H1999" s="1">
        <v>0</v>
      </c>
      <c r="I1999" s="1">
        <v>0</v>
      </c>
      <c r="J1999" s="1">
        <v>0</v>
      </c>
      <c r="K1999" s="1">
        <v>0</v>
      </c>
      <c r="L1999" s="1">
        <v>0</v>
      </c>
      <c r="M1999" s="1">
        <v>0</v>
      </c>
      <c r="N1999" s="1">
        <v>0</v>
      </c>
      <c r="O1999" s="1">
        <v>47</v>
      </c>
      <c r="P1999" s="1">
        <v>89</v>
      </c>
      <c r="Q1999" s="1">
        <v>71</v>
      </c>
      <c r="R1999" s="1">
        <v>119</v>
      </c>
      <c r="S1999" s="1">
        <v>125</v>
      </c>
      <c r="T1999" s="1">
        <v>253</v>
      </c>
      <c r="U1999" s="1">
        <v>414</v>
      </c>
      <c r="V1999" s="1">
        <v>518</v>
      </c>
    </row>
    <row r="2000" spans="1:22" x14ac:dyDescent="0.2">
      <c r="A2000" s="1" t="s">
        <v>1629</v>
      </c>
      <c r="B2000" s="1" t="s">
        <v>2007</v>
      </c>
      <c r="C2000" s="1">
        <v>0</v>
      </c>
      <c r="D2000" s="1">
        <v>0</v>
      </c>
      <c r="E2000" s="1">
        <v>0</v>
      </c>
      <c r="F2000" s="1">
        <v>0</v>
      </c>
      <c r="G2000" s="1">
        <v>0</v>
      </c>
      <c r="H2000" s="1">
        <v>0</v>
      </c>
      <c r="I2000" s="1">
        <v>0</v>
      </c>
      <c r="J2000" s="1">
        <v>0</v>
      </c>
      <c r="K2000" s="1">
        <v>0</v>
      </c>
      <c r="L2000" s="1">
        <v>0</v>
      </c>
      <c r="M2000" s="1">
        <v>0</v>
      </c>
      <c r="N2000" s="1">
        <v>0</v>
      </c>
      <c r="O2000" s="1">
        <v>0</v>
      </c>
      <c r="P2000" s="1">
        <v>0</v>
      </c>
      <c r="Q2000" s="1">
        <v>3</v>
      </c>
      <c r="R2000" s="1">
        <v>1</v>
      </c>
      <c r="S2000" s="1">
        <v>1</v>
      </c>
      <c r="T2000" s="1">
        <v>1</v>
      </c>
      <c r="U2000" s="1">
        <v>0</v>
      </c>
      <c r="V2000" s="1">
        <v>0</v>
      </c>
    </row>
    <row r="2001" spans="1:22" x14ac:dyDescent="0.2">
      <c r="A2001" s="1" t="s">
        <v>1629</v>
      </c>
      <c r="B2001" s="1" t="s">
        <v>2008</v>
      </c>
      <c r="C2001" s="1">
        <v>0</v>
      </c>
      <c r="D2001" s="1">
        <v>0</v>
      </c>
      <c r="E2001" s="1">
        <v>2</v>
      </c>
      <c r="F2001" s="1">
        <v>0</v>
      </c>
      <c r="G2001" s="1">
        <v>18</v>
      </c>
      <c r="H2001" s="1">
        <v>44</v>
      </c>
      <c r="I2001" s="1">
        <v>34</v>
      </c>
      <c r="J2001" s="1">
        <v>84</v>
      </c>
      <c r="K2001" s="1">
        <v>255</v>
      </c>
      <c r="L2001" s="1">
        <v>244</v>
      </c>
      <c r="M2001" s="1">
        <v>255</v>
      </c>
      <c r="N2001" s="1">
        <v>236</v>
      </c>
      <c r="O2001" s="1">
        <v>433</v>
      </c>
      <c r="P2001" s="1">
        <v>192</v>
      </c>
      <c r="Q2001" s="1">
        <v>211</v>
      </c>
      <c r="R2001" s="1">
        <v>973</v>
      </c>
      <c r="S2001" s="1">
        <v>1158</v>
      </c>
      <c r="T2001" s="1">
        <v>560</v>
      </c>
      <c r="U2001" s="1">
        <v>567</v>
      </c>
      <c r="V2001" s="1">
        <v>742</v>
      </c>
    </row>
    <row r="2002" spans="1:22" x14ac:dyDescent="0.2">
      <c r="A2002" s="1" t="s">
        <v>1629</v>
      </c>
      <c r="B2002" s="1" t="s">
        <v>2009</v>
      </c>
      <c r="C2002" s="1">
        <f t="shared" ref="C2002:K2002" si="309">SUM(C2003:C2014)</f>
        <v>1115</v>
      </c>
      <c r="D2002" s="1">
        <f t="shared" si="309"/>
        <v>1750</v>
      </c>
      <c r="E2002" s="1">
        <f t="shared" si="309"/>
        <v>1452</v>
      </c>
      <c r="F2002" s="1">
        <f t="shared" si="309"/>
        <v>2497</v>
      </c>
      <c r="G2002" s="1">
        <f t="shared" si="309"/>
        <v>2666</v>
      </c>
      <c r="H2002" s="1">
        <f t="shared" si="309"/>
        <v>3229</v>
      </c>
      <c r="I2002" s="1">
        <f t="shared" si="309"/>
        <v>3007</v>
      </c>
      <c r="J2002" s="1">
        <f t="shared" si="309"/>
        <v>3547</v>
      </c>
      <c r="K2002" s="1">
        <f t="shared" si="309"/>
        <v>5757</v>
      </c>
      <c r="L2002" s="1">
        <f>SUM(L2003:L2014)</f>
        <v>6823</v>
      </c>
      <c r="M2002" s="1">
        <f>SUM(M2003:M2014)</f>
        <v>6293</v>
      </c>
      <c r="N2002" s="1">
        <f>SUM(N2003:N2014)</f>
        <v>5371</v>
      </c>
      <c r="O2002" s="1">
        <f t="shared" ref="O2002:V2002" si="310">SUM(O2003:O2014)</f>
        <v>4856</v>
      </c>
      <c r="P2002" s="1">
        <f t="shared" si="310"/>
        <v>3255</v>
      </c>
      <c r="Q2002" s="1">
        <f t="shared" si="310"/>
        <v>3143</v>
      </c>
      <c r="R2002" s="1">
        <f t="shared" si="310"/>
        <v>2918</v>
      </c>
      <c r="S2002" s="1">
        <f t="shared" si="310"/>
        <v>2749</v>
      </c>
      <c r="T2002" s="1">
        <f t="shared" si="310"/>
        <v>2763</v>
      </c>
      <c r="U2002" s="1">
        <f t="shared" si="310"/>
        <v>2646</v>
      </c>
      <c r="V2002" s="1">
        <f t="shared" si="310"/>
        <v>2964</v>
      </c>
    </row>
    <row r="2003" spans="1:22" x14ac:dyDescent="0.2">
      <c r="A2003" s="1" t="s">
        <v>1629</v>
      </c>
      <c r="B2003" s="1" t="s">
        <v>2010</v>
      </c>
      <c r="C2003" s="1">
        <v>0</v>
      </c>
      <c r="D2003" s="1">
        <v>0</v>
      </c>
      <c r="E2003" s="1">
        <v>0</v>
      </c>
      <c r="F2003" s="1">
        <v>0</v>
      </c>
      <c r="G2003" s="1">
        <v>0</v>
      </c>
      <c r="H2003" s="1">
        <v>0</v>
      </c>
      <c r="I2003" s="1">
        <v>0</v>
      </c>
      <c r="J2003" s="1">
        <v>12</v>
      </c>
      <c r="K2003" s="1">
        <v>2</v>
      </c>
      <c r="L2003" s="1">
        <v>1</v>
      </c>
      <c r="M2003" s="1">
        <v>1</v>
      </c>
      <c r="N2003" s="1">
        <v>1</v>
      </c>
      <c r="O2003" s="1">
        <v>0</v>
      </c>
      <c r="P2003" s="1">
        <v>0</v>
      </c>
      <c r="Q2003" s="1">
        <v>0</v>
      </c>
      <c r="R2003" s="1">
        <v>0</v>
      </c>
      <c r="S2003" s="1">
        <v>1</v>
      </c>
      <c r="T2003" s="1">
        <v>0</v>
      </c>
      <c r="U2003" s="1">
        <v>0</v>
      </c>
      <c r="V2003" s="1">
        <v>0</v>
      </c>
    </row>
    <row r="2004" spans="1:22" x14ac:dyDescent="0.2">
      <c r="A2004" s="1" t="s">
        <v>1629</v>
      </c>
      <c r="B2004" s="1" t="s">
        <v>2011</v>
      </c>
      <c r="C2004" s="1">
        <v>0</v>
      </c>
      <c r="D2004" s="1">
        <v>0</v>
      </c>
      <c r="E2004" s="1">
        <v>0</v>
      </c>
      <c r="F2004" s="1">
        <v>0</v>
      </c>
      <c r="G2004" s="1">
        <v>0</v>
      </c>
      <c r="H2004" s="1">
        <v>0</v>
      </c>
      <c r="I2004" s="1">
        <v>0</v>
      </c>
      <c r="J2004" s="1">
        <v>0</v>
      </c>
      <c r="K2004" s="1">
        <v>6</v>
      </c>
      <c r="L2004" s="1">
        <v>6</v>
      </c>
      <c r="M2004" s="1">
        <v>3</v>
      </c>
      <c r="N2004" s="1">
        <v>0</v>
      </c>
      <c r="O2004" s="1">
        <v>0</v>
      </c>
      <c r="P2004" s="1">
        <v>0</v>
      </c>
      <c r="Q2004" s="1">
        <v>0</v>
      </c>
      <c r="R2004" s="1">
        <v>3</v>
      </c>
      <c r="S2004" s="1">
        <v>1</v>
      </c>
      <c r="T2004" s="1">
        <v>2</v>
      </c>
      <c r="U2004" s="1">
        <v>5</v>
      </c>
      <c r="V2004" s="1">
        <v>2</v>
      </c>
    </row>
    <row r="2005" spans="1:22" x14ac:dyDescent="0.2">
      <c r="A2005" s="1" t="s">
        <v>1629</v>
      </c>
      <c r="B2005" s="1" t="s">
        <v>2012</v>
      </c>
      <c r="C2005" s="1">
        <v>0</v>
      </c>
      <c r="D2005" s="1">
        <v>0</v>
      </c>
      <c r="E2005" s="1">
        <v>0</v>
      </c>
      <c r="F2005" s="1">
        <v>0</v>
      </c>
      <c r="G2005" s="1">
        <v>0</v>
      </c>
      <c r="H2005" s="1">
        <v>0</v>
      </c>
      <c r="I2005" s="1">
        <v>0</v>
      </c>
      <c r="J2005" s="1">
        <v>181</v>
      </c>
      <c r="K2005" s="1">
        <v>201</v>
      </c>
      <c r="L2005" s="1">
        <v>88</v>
      </c>
      <c r="M2005" s="1">
        <v>20</v>
      </c>
      <c r="N2005" s="1">
        <v>45</v>
      </c>
      <c r="O2005" s="1">
        <v>50</v>
      </c>
      <c r="P2005" s="1">
        <v>79</v>
      </c>
      <c r="Q2005" s="1">
        <v>116</v>
      </c>
      <c r="R2005" s="1">
        <v>123</v>
      </c>
      <c r="S2005" s="1">
        <v>99</v>
      </c>
      <c r="T2005" s="1">
        <v>136</v>
      </c>
      <c r="U2005" s="1">
        <v>258</v>
      </c>
      <c r="V2005" s="1">
        <v>296</v>
      </c>
    </row>
    <row r="2006" spans="1:22" x14ac:dyDescent="0.2">
      <c r="A2006" s="1" t="s">
        <v>1629</v>
      </c>
      <c r="B2006" s="1" t="s">
        <v>2013</v>
      </c>
      <c r="C2006" s="1">
        <v>0</v>
      </c>
      <c r="D2006" s="1">
        <v>0</v>
      </c>
      <c r="E2006" s="1">
        <v>0</v>
      </c>
      <c r="F2006" s="1">
        <v>0</v>
      </c>
      <c r="G2006" s="1">
        <v>0</v>
      </c>
      <c r="H2006" s="1">
        <v>0</v>
      </c>
      <c r="I2006" s="1">
        <v>0</v>
      </c>
      <c r="J2006" s="1">
        <v>51</v>
      </c>
      <c r="K2006" s="1">
        <v>20</v>
      </c>
      <c r="L2006" s="1">
        <v>38</v>
      </c>
      <c r="M2006" s="1">
        <v>54</v>
      </c>
      <c r="N2006" s="1">
        <v>45</v>
      </c>
      <c r="O2006" s="1">
        <v>39</v>
      </c>
      <c r="P2006" s="1">
        <v>49</v>
      </c>
      <c r="Q2006" s="1">
        <v>42</v>
      </c>
      <c r="R2006" s="1">
        <v>28</v>
      </c>
      <c r="S2006" s="1">
        <v>46</v>
      </c>
      <c r="T2006" s="1">
        <v>58</v>
      </c>
      <c r="U2006" s="1">
        <v>35</v>
      </c>
      <c r="V2006" s="1">
        <v>60</v>
      </c>
    </row>
    <row r="2007" spans="1:22" x14ac:dyDescent="0.2">
      <c r="A2007" s="1" t="s">
        <v>1629</v>
      </c>
      <c r="B2007" s="1" t="s">
        <v>2014</v>
      </c>
      <c r="C2007" s="1">
        <v>0</v>
      </c>
      <c r="D2007" s="1">
        <v>0</v>
      </c>
      <c r="E2007" s="1">
        <v>0</v>
      </c>
      <c r="F2007" s="1">
        <v>0</v>
      </c>
      <c r="G2007" s="1">
        <v>0</v>
      </c>
      <c r="H2007" s="1">
        <v>0</v>
      </c>
      <c r="I2007" s="1">
        <v>0</v>
      </c>
      <c r="J2007" s="1">
        <v>5</v>
      </c>
      <c r="K2007" s="1">
        <v>7</v>
      </c>
      <c r="L2007" s="1">
        <v>2</v>
      </c>
      <c r="M2007" s="1">
        <v>0</v>
      </c>
      <c r="N2007" s="1">
        <v>0</v>
      </c>
      <c r="O2007" s="1">
        <v>0</v>
      </c>
      <c r="P2007" s="1">
        <v>0</v>
      </c>
      <c r="Q2007" s="1">
        <v>0</v>
      </c>
      <c r="R2007" s="1">
        <v>1</v>
      </c>
      <c r="S2007" s="1">
        <v>23</v>
      </c>
      <c r="T2007" s="1">
        <v>0</v>
      </c>
      <c r="U2007" s="1">
        <v>0</v>
      </c>
      <c r="V2007" s="1">
        <v>0</v>
      </c>
    </row>
    <row r="2008" spans="1:22" x14ac:dyDescent="0.2">
      <c r="A2008" s="1" t="s">
        <v>1629</v>
      </c>
      <c r="B2008" s="1" t="s">
        <v>2015</v>
      </c>
      <c r="C2008" s="1">
        <v>0</v>
      </c>
      <c r="D2008" s="1">
        <v>0</v>
      </c>
      <c r="E2008" s="1">
        <v>0</v>
      </c>
      <c r="F2008" s="1">
        <v>0</v>
      </c>
      <c r="G2008" s="1">
        <v>0</v>
      </c>
      <c r="H2008" s="1">
        <v>0</v>
      </c>
      <c r="I2008" s="1">
        <v>0</v>
      </c>
      <c r="J2008" s="1">
        <v>1</v>
      </c>
      <c r="K2008" s="1">
        <v>0</v>
      </c>
      <c r="L2008" s="1">
        <v>4</v>
      </c>
      <c r="M2008" s="1">
        <v>1</v>
      </c>
      <c r="N2008" s="1">
        <v>2</v>
      </c>
      <c r="O2008" s="1">
        <v>1</v>
      </c>
      <c r="P2008" s="1">
        <v>0</v>
      </c>
      <c r="Q2008" s="1">
        <v>0</v>
      </c>
      <c r="R2008" s="1">
        <v>0</v>
      </c>
      <c r="S2008" s="1">
        <v>1</v>
      </c>
      <c r="T2008" s="1">
        <v>0</v>
      </c>
      <c r="U2008" s="1">
        <v>0</v>
      </c>
      <c r="V2008" s="1">
        <v>1</v>
      </c>
    </row>
    <row r="2009" spans="1:22" x14ac:dyDescent="0.2">
      <c r="A2009" s="1" t="s">
        <v>1629</v>
      </c>
      <c r="B2009" s="1" t="s">
        <v>2016</v>
      </c>
      <c r="C2009" s="1">
        <v>0</v>
      </c>
      <c r="D2009" s="1">
        <v>0</v>
      </c>
      <c r="E2009" s="1">
        <v>0</v>
      </c>
      <c r="F2009" s="1">
        <v>0</v>
      </c>
      <c r="G2009" s="1">
        <v>0</v>
      </c>
      <c r="H2009" s="1">
        <v>0</v>
      </c>
      <c r="I2009" s="1">
        <v>0</v>
      </c>
      <c r="J2009" s="1">
        <v>0</v>
      </c>
      <c r="K2009" s="1">
        <v>6</v>
      </c>
      <c r="L2009" s="1">
        <v>1</v>
      </c>
      <c r="M2009" s="1">
        <v>118</v>
      </c>
      <c r="N2009" s="1">
        <v>0</v>
      </c>
      <c r="V2009" s="1">
        <v>0</v>
      </c>
    </row>
    <row r="2010" spans="1:22" x14ac:dyDescent="0.2">
      <c r="A2010" s="1" t="s">
        <v>1629</v>
      </c>
      <c r="B2010" s="1" t="s">
        <v>2017</v>
      </c>
      <c r="C2010" s="1">
        <v>0</v>
      </c>
      <c r="D2010" s="1">
        <v>0</v>
      </c>
      <c r="E2010" s="1">
        <v>0</v>
      </c>
      <c r="F2010" s="1">
        <v>0</v>
      </c>
      <c r="G2010" s="1">
        <v>0</v>
      </c>
      <c r="H2010" s="1">
        <v>0</v>
      </c>
      <c r="I2010" s="1">
        <v>0</v>
      </c>
      <c r="J2010" s="1">
        <v>2</v>
      </c>
      <c r="K2010" s="1">
        <v>6</v>
      </c>
      <c r="L2010" s="1">
        <v>1</v>
      </c>
      <c r="M2010" s="1">
        <v>0</v>
      </c>
      <c r="N2010" s="1">
        <v>0</v>
      </c>
      <c r="O2010" s="1">
        <v>4</v>
      </c>
      <c r="P2010" s="1">
        <v>3</v>
      </c>
      <c r="Q2010" s="1">
        <v>0</v>
      </c>
      <c r="R2010" s="1">
        <v>0</v>
      </c>
      <c r="S2010" s="1">
        <v>0</v>
      </c>
      <c r="T2010" s="1">
        <v>0</v>
      </c>
      <c r="U2010" s="1">
        <v>0</v>
      </c>
      <c r="V2010" s="1">
        <v>1</v>
      </c>
    </row>
    <row r="2011" spans="1:22" x14ac:dyDescent="0.2">
      <c r="A2011" s="1" t="s">
        <v>1629</v>
      </c>
      <c r="B2011" s="1" t="s">
        <v>2018</v>
      </c>
      <c r="C2011" s="1">
        <v>0</v>
      </c>
      <c r="D2011" s="1">
        <v>0</v>
      </c>
      <c r="E2011" s="1">
        <v>0</v>
      </c>
      <c r="F2011" s="1">
        <v>0</v>
      </c>
      <c r="G2011" s="1">
        <v>0</v>
      </c>
      <c r="H2011" s="1">
        <v>0</v>
      </c>
      <c r="I2011" s="1">
        <v>0</v>
      </c>
      <c r="J2011" s="1">
        <v>1960</v>
      </c>
      <c r="K2011" s="1">
        <v>3641</v>
      </c>
      <c r="L2011" s="1">
        <v>5002</v>
      </c>
      <c r="M2011" s="1">
        <v>4522</v>
      </c>
      <c r="N2011" s="1">
        <v>4034</v>
      </c>
      <c r="O2011" s="1">
        <v>3698</v>
      </c>
      <c r="P2011" s="1">
        <v>2551</v>
      </c>
      <c r="Q2011" s="1">
        <v>2378</v>
      </c>
      <c r="R2011" s="1">
        <v>2321</v>
      </c>
      <c r="S2011" s="1">
        <v>2165</v>
      </c>
      <c r="T2011" s="1">
        <v>2357</v>
      </c>
      <c r="U2011" s="1">
        <v>2190</v>
      </c>
      <c r="V2011" s="1">
        <v>2356</v>
      </c>
    </row>
    <row r="2012" spans="1:22" x14ac:dyDescent="0.2">
      <c r="A2012" s="1" t="s">
        <v>1629</v>
      </c>
      <c r="B2012" s="1" t="s">
        <v>2019</v>
      </c>
      <c r="C2012" s="1">
        <v>0</v>
      </c>
      <c r="D2012" s="1">
        <v>0</v>
      </c>
      <c r="E2012" s="1">
        <v>0</v>
      </c>
      <c r="F2012" s="1">
        <v>0</v>
      </c>
      <c r="G2012" s="1">
        <v>0</v>
      </c>
      <c r="H2012" s="1">
        <v>0</v>
      </c>
      <c r="I2012" s="1">
        <v>0</v>
      </c>
      <c r="J2012" s="1">
        <v>218</v>
      </c>
      <c r="K2012" s="1">
        <v>669</v>
      </c>
      <c r="L2012" s="1">
        <v>274</v>
      </c>
      <c r="M2012" s="1">
        <v>398</v>
      </c>
      <c r="N2012" s="1">
        <v>776</v>
      </c>
      <c r="O2012" s="1">
        <v>412</v>
      </c>
      <c r="P2012" s="1">
        <v>222</v>
      </c>
      <c r="Q2012" s="1">
        <v>184</v>
      </c>
      <c r="R2012" s="1">
        <v>139</v>
      </c>
      <c r="S2012" s="1">
        <v>185</v>
      </c>
      <c r="T2012" s="1">
        <v>34</v>
      </c>
      <c r="U2012" s="1">
        <v>27</v>
      </c>
      <c r="V2012" s="1">
        <v>22</v>
      </c>
    </row>
    <row r="2013" spans="1:22" x14ac:dyDescent="0.2">
      <c r="A2013" s="1" t="s">
        <v>1629</v>
      </c>
      <c r="B2013" s="1" t="s">
        <v>2020</v>
      </c>
      <c r="C2013" s="1">
        <v>0</v>
      </c>
      <c r="D2013" s="1">
        <v>0</v>
      </c>
      <c r="E2013" s="1">
        <v>0</v>
      </c>
      <c r="F2013" s="1">
        <v>0</v>
      </c>
      <c r="G2013" s="1">
        <v>0</v>
      </c>
      <c r="H2013" s="1">
        <v>0</v>
      </c>
      <c r="I2013" s="1">
        <v>0</v>
      </c>
      <c r="J2013" s="1">
        <v>1036</v>
      </c>
      <c r="K2013" s="1">
        <v>998</v>
      </c>
      <c r="L2013" s="1">
        <v>538</v>
      </c>
      <c r="M2013" s="1">
        <v>417</v>
      </c>
      <c r="N2013" s="1">
        <v>303</v>
      </c>
      <c r="O2013" s="1">
        <v>330</v>
      </c>
      <c r="P2013" s="1">
        <v>115</v>
      </c>
      <c r="Q2013" s="1">
        <v>155</v>
      </c>
      <c r="R2013" s="1">
        <v>106</v>
      </c>
      <c r="S2013" s="1">
        <v>65</v>
      </c>
      <c r="T2013" s="1">
        <v>70</v>
      </c>
      <c r="U2013" s="1">
        <v>67</v>
      </c>
      <c r="V2013" s="1">
        <v>144</v>
      </c>
    </row>
    <row r="2014" spans="1:22" x14ac:dyDescent="0.2">
      <c r="A2014" s="1" t="s">
        <v>1629</v>
      </c>
      <c r="B2014" s="1" t="s">
        <v>2021</v>
      </c>
      <c r="C2014" s="1">
        <v>1115</v>
      </c>
      <c r="D2014" s="1">
        <v>1750</v>
      </c>
      <c r="E2014" s="1">
        <v>1452</v>
      </c>
      <c r="F2014" s="1">
        <v>2497</v>
      </c>
      <c r="G2014" s="1">
        <v>2666</v>
      </c>
      <c r="H2014" s="1">
        <v>3229</v>
      </c>
      <c r="I2014" s="1">
        <v>3007</v>
      </c>
      <c r="J2014" s="1">
        <v>81</v>
      </c>
      <c r="K2014" s="1">
        <v>201</v>
      </c>
      <c r="L2014" s="1">
        <v>868</v>
      </c>
      <c r="M2014" s="1">
        <v>759</v>
      </c>
      <c r="N2014" s="1">
        <v>165</v>
      </c>
      <c r="O2014" s="1">
        <v>322</v>
      </c>
      <c r="P2014" s="1">
        <v>236</v>
      </c>
      <c r="Q2014" s="1">
        <v>268</v>
      </c>
      <c r="R2014" s="1">
        <v>197</v>
      </c>
      <c r="S2014" s="1">
        <v>163</v>
      </c>
      <c r="T2014" s="1">
        <v>106</v>
      </c>
      <c r="U2014" s="1">
        <v>64</v>
      </c>
      <c r="V2014" s="1">
        <v>82</v>
      </c>
    </row>
    <row r="2015" spans="1:22" x14ac:dyDescent="0.2">
      <c r="A2015" s="1" t="s">
        <v>1629</v>
      </c>
      <c r="B2015" s="1" t="s">
        <v>2022</v>
      </c>
      <c r="C2015" s="1">
        <f t="shared" ref="C2015:K2015" si="311">SUM(C2016:C2037)</f>
        <v>0</v>
      </c>
      <c r="D2015" s="1">
        <f t="shared" si="311"/>
        <v>0</v>
      </c>
      <c r="E2015" s="1">
        <f t="shared" si="311"/>
        <v>0</v>
      </c>
      <c r="F2015" s="1">
        <f t="shared" si="311"/>
        <v>0</v>
      </c>
      <c r="G2015" s="1">
        <f t="shared" si="311"/>
        <v>0</v>
      </c>
      <c r="H2015" s="1">
        <f t="shared" si="311"/>
        <v>0</v>
      </c>
      <c r="I2015" s="1">
        <f t="shared" si="311"/>
        <v>0</v>
      </c>
      <c r="J2015" s="1">
        <f t="shared" si="311"/>
        <v>5149</v>
      </c>
      <c r="K2015" s="1">
        <f t="shared" si="311"/>
        <v>14707</v>
      </c>
      <c r="L2015" s="1">
        <f>SUM(L2016:L2037)</f>
        <v>10510</v>
      </c>
      <c r="M2015" s="1">
        <f>SUM(M2016:M2037)</f>
        <v>12510</v>
      </c>
      <c r="N2015" s="1">
        <f>SUM(N2016:N2037)</f>
        <v>17448</v>
      </c>
      <c r="O2015" s="1">
        <f t="shared" ref="O2015:V2015" si="312">SUM(O2016:O2037)</f>
        <v>21899</v>
      </c>
      <c r="P2015" s="1">
        <f t="shared" si="312"/>
        <v>20354</v>
      </c>
      <c r="Q2015" s="1">
        <f t="shared" si="312"/>
        <v>19296</v>
      </c>
      <c r="R2015" s="1">
        <f t="shared" si="312"/>
        <v>18722</v>
      </c>
      <c r="S2015" s="1">
        <f t="shared" si="312"/>
        <v>18979</v>
      </c>
      <c r="T2015" s="1">
        <f t="shared" si="312"/>
        <v>18713</v>
      </c>
      <c r="U2015" s="1">
        <f t="shared" si="312"/>
        <v>20103</v>
      </c>
      <c r="V2015" s="1">
        <f t="shared" si="312"/>
        <v>21180</v>
      </c>
    </row>
    <row r="2016" spans="1:22" x14ac:dyDescent="0.2">
      <c r="A2016" s="1" t="s">
        <v>1629</v>
      </c>
      <c r="B2016" s="1" t="s">
        <v>2023</v>
      </c>
      <c r="C2016" s="1">
        <v>0</v>
      </c>
      <c r="D2016" s="1">
        <v>0</v>
      </c>
      <c r="E2016" s="1">
        <v>0</v>
      </c>
      <c r="F2016" s="1">
        <v>0</v>
      </c>
      <c r="G2016" s="1">
        <v>0</v>
      </c>
      <c r="H2016" s="1">
        <v>0</v>
      </c>
      <c r="I2016" s="1">
        <v>0</v>
      </c>
      <c r="J2016" s="1">
        <v>247</v>
      </c>
      <c r="K2016" s="1">
        <v>905</v>
      </c>
      <c r="L2016" s="1">
        <v>3913</v>
      </c>
      <c r="M2016" s="1">
        <v>6403</v>
      </c>
      <c r="N2016" s="1">
        <v>6069</v>
      </c>
      <c r="O2016" s="1">
        <v>3976</v>
      </c>
      <c r="P2016" s="1">
        <v>2640</v>
      </c>
      <c r="Q2016" s="1">
        <v>2103</v>
      </c>
      <c r="R2016" s="1">
        <v>1744</v>
      </c>
      <c r="S2016" s="1">
        <v>1938</v>
      </c>
      <c r="T2016" s="1">
        <v>1848</v>
      </c>
      <c r="U2016" s="1">
        <v>2157</v>
      </c>
      <c r="V2016" s="1">
        <v>2078</v>
      </c>
    </row>
    <row r="2017" spans="1:22" x14ac:dyDescent="0.2">
      <c r="A2017" s="1" t="s">
        <v>1629</v>
      </c>
      <c r="B2017" s="1" t="s">
        <v>2024</v>
      </c>
      <c r="C2017" s="1">
        <v>0</v>
      </c>
      <c r="D2017" s="1">
        <v>0</v>
      </c>
      <c r="E2017" s="1">
        <v>0</v>
      </c>
      <c r="F2017" s="1">
        <v>0</v>
      </c>
      <c r="G2017" s="1">
        <v>0</v>
      </c>
      <c r="H2017" s="1">
        <v>0</v>
      </c>
      <c r="I2017" s="1">
        <v>0</v>
      </c>
      <c r="J2017" s="1">
        <v>5</v>
      </c>
      <c r="K2017" s="1">
        <v>4</v>
      </c>
      <c r="L2017" s="1">
        <v>10</v>
      </c>
      <c r="M2017" s="1">
        <v>22</v>
      </c>
      <c r="N2017" s="1">
        <v>18</v>
      </c>
      <c r="O2017" s="1">
        <v>14</v>
      </c>
      <c r="P2017" s="1">
        <v>17</v>
      </c>
      <c r="Q2017" s="1">
        <v>18</v>
      </c>
      <c r="R2017" s="1">
        <v>36</v>
      </c>
      <c r="S2017" s="1">
        <v>27</v>
      </c>
      <c r="T2017" s="1">
        <v>22</v>
      </c>
      <c r="U2017" s="1">
        <v>9</v>
      </c>
      <c r="V2017" s="1">
        <v>11</v>
      </c>
    </row>
    <row r="2018" spans="1:22" x14ac:dyDescent="0.2">
      <c r="A2018" s="1" t="s">
        <v>1629</v>
      </c>
      <c r="B2018" s="1" t="s">
        <v>2025</v>
      </c>
      <c r="C2018" s="1">
        <v>0</v>
      </c>
      <c r="D2018" s="1">
        <v>0</v>
      </c>
      <c r="E2018" s="1">
        <v>0</v>
      </c>
      <c r="F2018" s="1">
        <v>0</v>
      </c>
      <c r="G2018" s="1">
        <v>0</v>
      </c>
      <c r="H2018" s="1">
        <v>0</v>
      </c>
      <c r="I2018" s="1">
        <v>0</v>
      </c>
      <c r="J2018" s="1">
        <v>27</v>
      </c>
      <c r="K2018" s="1">
        <v>99</v>
      </c>
      <c r="L2018" s="1">
        <v>298</v>
      </c>
      <c r="M2018" s="1">
        <v>231</v>
      </c>
      <c r="N2018" s="1">
        <v>207</v>
      </c>
      <c r="O2018" s="1">
        <v>146</v>
      </c>
      <c r="P2018" s="1">
        <v>173</v>
      </c>
      <c r="Q2018" s="1">
        <v>115</v>
      </c>
      <c r="R2018" s="1">
        <v>106</v>
      </c>
      <c r="S2018" s="1">
        <v>131</v>
      </c>
      <c r="T2018" s="1">
        <v>174</v>
      </c>
      <c r="U2018" s="1">
        <v>169</v>
      </c>
      <c r="V2018" s="1">
        <v>225</v>
      </c>
    </row>
    <row r="2019" spans="1:22" x14ac:dyDescent="0.2">
      <c r="A2019" s="1" t="s">
        <v>1629</v>
      </c>
      <c r="B2019" s="1" t="s">
        <v>2026</v>
      </c>
      <c r="C2019" s="1">
        <v>0</v>
      </c>
      <c r="D2019" s="1">
        <v>0</v>
      </c>
      <c r="E2019" s="1">
        <v>0</v>
      </c>
      <c r="F2019" s="1">
        <v>0</v>
      </c>
      <c r="G2019" s="1">
        <v>0</v>
      </c>
      <c r="H2019" s="1">
        <v>0</v>
      </c>
      <c r="I2019" s="1">
        <v>0</v>
      </c>
      <c r="J2019" s="1">
        <v>0</v>
      </c>
      <c r="K2019" s="1">
        <v>1</v>
      </c>
      <c r="L2019" s="1">
        <v>1</v>
      </c>
      <c r="M2019" s="1">
        <v>2</v>
      </c>
      <c r="N2019" s="1">
        <v>2</v>
      </c>
      <c r="O2019" s="1">
        <v>2</v>
      </c>
      <c r="P2019" s="1">
        <v>1</v>
      </c>
      <c r="Q2019" s="1">
        <v>1</v>
      </c>
      <c r="R2019" s="1">
        <v>2</v>
      </c>
      <c r="S2019" s="1">
        <v>4</v>
      </c>
      <c r="T2019" s="1">
        <v>0</v>
      </c>
      <c r="U2019" s="1">
        <v>0</v>
      </c>
      <c r="V2019" s="1">
        <v>2</v>
      </c>
    </row>
    <row r="2020" spans="1:22" x14ac:dyDescent="0.2">
      <c r="A2020" s="1" t="s">
        <v>1629</v>
      </c>
      <c r="B2020" s="1" t="s">
        <v>2027</v>
      </c>
      <c r="C2020" s="1">
        <v>0</v>
      </c>
      <c r="D2020" s="1">
        <v>0</v>
      </c>
      <c r="E2020" s="1">
        <v>0</v>
      </c>
      <c r="F2020" s="1">
        <v>0</v>
      </c>
      <c r="G2020" s="1">
        <v>0</v>
      </c>
      <c r="H2020" s="1">
        <v>0</v>
      </c>
      <c r="I2020" s="1">
        <v>0</v>
      </c>
      <c r="J2020" s="1">
        <v>0</v>
      </c>
      <c r="K2020" s="1">
        <v>4</v>
      </c>
      <c r="L2020" s="1">
        <v>1</v>
      </c>
      <c r="M2020" s="1">
        <v>1</v>
      </c>
      <c r="N2020" s="1">
        <v>4</v>
      </c>
      <c r="O2020" s="1">
        <v>3</v>
      </c>
      <c r="P2020" s="1">
        <v>1</v>
      </c>
      <c r="Q2020" s="1">
        <v>0</v>
      </c>
      <c r="R2020" s="1">
        <v>1</v>
      </c>
      <c r="S2020" s="1">
        <v>2</v>
      </c>
      <c r="T2020" s="1">
        <v>1</v>
      </c>
      <c r="U2020" s="1">
        <v>0</v>
      </c>
      <c r="V2020" s="1">
        <v>0</v>
      </c>
    </row>
    <row r="2021" spans="1:22" x14ac:dyDescent="0.2">
      <c r="A2021" s="1" t="s">
        <v>1629</v>
      </c>
      <c r="B2021" s="1" t="s">
        <v>2028</v>
      </c>
      <c r="C2021" s="1">
        <v>0</v>
      </c>
      <c r="D2021" s="1">
        <v>0</v>
      </c>
      <c r="E2021" s="1">
        <v>0</v>
      </c>
      <c r="F2021" s="1">
        <v>0</v>
      </c>
      <c r="G2021" s="1">
        <v>0</v>
      </c>
      <c r="H2021" s="1">
        <v>0</v>
      </c>
      <c r="I2021" s="1">
        <v>0</v>
      </c>
      <c r="J2021" s="1">
        <v>2</v>
      </c>
      <c r="K2021" s="1">
        <v>4</v>
      </c>
      <c r="L2021" s="1">
        <v>7</v>
      </c>
      <c r="M2021" s="1">
        <v>18</v>
      </c>
      <c r="N2021" s="1">
        <v>11</v>
      </c>
      <c r="O2021" s="1">
        <v>9</v>
      </c>
      <c r="P2021" s="1">
        <v>9</v>
      </c>
      <c r="Q2021" s="1">
        <v>16</v>
      </c>
      <c r="R2021" s="1">
        <v>14</v>
      </c>
      <c r="S2021" s="1">
        <v>6</v>
      </c>
      <c r="T2021" s="1">
        <v>4</v>
      </c>
      <c r="U2021" s="1">
        <v>6</v>
      </c>
      <c r="V2021" s="1">
        <v>3</v>
      </c>
    </row>
    <row r="2022" spans="1:22" x14ac:dyDescent="0.2">
      <c r="A2022" s="1" t="s">
        <v>1629</v>
      </c>
      <c r="B2022" s="1" t="s">
        <v>2029</v>
      </c>
      <c r="C2022" s="1">
        <v>0</v>
      </c>
      <c r="D2022" s="1">
        <v>0</v>
      </c>
      <c r="E2022" s="1">
        <v>0</v>
      </c>
      <c r="F2022" s="1">
        <v>0</v>
      </c>
      <c r="G2022" s="1">
        <v>0</v>
      </c>
      <c r="H2022" s="1">
        <v>0</v>
      </c>
      <c r="I2022" s="1">
        <v>0</v>
      </c>
      <c r="J2022" s="1">
        <v>6</v>
      </c>
      <c r="K2022" s="1">
        <v>18</v>
      </c>
      <c r="L2022" s="1">
        <v>15</v>
      </c>
      <c r="M2022" s="1">
        <v>10</v>
      </c>
      <c r="N2022" s="1">
        <v>12</v>
      </c>
      <c r="O2022" s="1">
        <v>4</v>
      </c>
      <c r="P2022" s="1">
        <v>7</v>
      </c>
      <c r="Q2022" s="1">
        <v>6</v>
      </c>
      <c r="R2022" s="1">
        <v>9</v>
      </c>
      <c r="S2022" s="1">
        <v>11</v>
      </c>
      <c r="T2022" s="1">
        <v>14</v>
      </c>
      <c r="U2022" s="1">
        <v>18</v>
      </c>
      <c r="V2022" s="1">
        <v>9</v>
      </c>
    </row>
    <row r="2023" spans="1:22" x14ac:dyDescent="0.2">
      <c r="A2023" s="1" t="s">
        <v>1629</v>
      </c>
      <c r="B2023" s="1" t="s">
        <v>2030</v>
      </c>
      <c r="C2023" s="1">
        <v>0</v>
      </c>
      <c r="D2023" s="1">
        <v>0</v>
      </c>
      <c r="E2023" s="1">
        <v>0</v>
      </c>
      <c r="F2023" s="1">
        <v>0</v>
      </c>
      <c r="G2023" s="1">
        <v>0</v>
      </c>
      <c r="H2023" s="1">
        <v>0</v>
      </c>
      <c r="I2023" s="1">
        <v>0</v>
      </c>
      <c r="J2023" s="1">
        <v>0</v>
      </c>
      <c r="K2023" s="1">
        <v>0</v>
      </c>
      <c r="L2023" s="1">
        <v>0</v>
      </c>
      <c r="M2023" s="1">
        <v>14</v>
      </c>
      <c r="N2023" s="1">
        <v>47</v>
      </c>
      <c r="O2023" s="1">
        <v>108</v>
      </c>
      <c r="P2023" s="1">
        <v>64</v>
      </c>
      <c r="Q2023" s="1">
        <v>47</v>
      </c>
      <c r="R2023" s="1">
        <v>85</v>
      </c>
      <c r="S2023" s="1">
        <v>83</v>
      </c>
      <c r="T2023" s="1">
        <v>115</v>
      </c>
      <c r="U2023" s="1">
        <v>150</v>
      </c>
      <c r="V2023" s="1">
        <v>152</v>
      </c>
    </row>
    <row r="2024" spans="1:22" x14ac:dyDescent="0.2">
      <c r="A2024" s="1" t="s">
        <v>1629</v>
      </c>
      <c r="B2024" s="1" t="s">
        <v>2031</v>
      </c>
      <c r="C2024" s="1">
        <v>0</v>
      </c>
      <c r="D2024" s="1">
        <v>0</v>
      </c>
      <c r="E2024" s="1">
        <v>0</v>
      </c>
      <c r="F2024" s="1">
        <v>0</v>
      </c>
      <c r="G2024" s="1">
        <v>0</v>
      </c>
      <c r="H2024" s="1">
        <v>0</v>
      </c>
      <c r="I2024" s="1">
        <v>0</v>
      </c>
      <c r="J2024" s="1">
        <v>0</v>
      </c>
      <c r="K2024" s="1">
        <v>1</v>
      </c>
      <c r="L2024" s="1">
        <v>1</v>
      </c>
      <c r="M2024" s="1">
        <v>3</v>
      </c>
      <c r="N2024" s="1">
        <v>2</v>
      </c>
      <c r="O2024" s="1">
        <v>477</v>
      </c>
      <c r="P2024" s="1">
        <v>2</v>
      </c>
      <c r="Q2024" s="1">
        <v>0</v>
      </c>
      <c r="R2024" s="1">
        <v>1</v>
      </c>
      <c r="S2024" s="1">
        <v>1</v>
      </c>
      <c r="T2024" s="1">
        <v>0</v>
      </c>
      <c r="U2024" s="1">
        <v>0</v>
      </c>
      <c r="V2024" s="1">
        <v>1</v>
      </c>
    </row>
    <row r="2025" spans="1:22" x14ac:dyDescent="0.2">
      <c r="A2025" s="1" t="s">
        <v>1629</v>
      </c>
      <c r="B2025" s="1" t="s">
        <v>2032</v>
      </c>
      <c r="C2025" s="1">
        <v>0</v>
      </c>
      <c r="D2025" s="1">
        <v>0</v>
      </c>
      <c r="E2025" s="1">
        <v>0</v>
      </c>
      <c r="F2025" s="1">
        <v>0</v>
      </c>
      <c r="G2025" s="1">
        <v>0</v>
      </c>
      <c r="H2025" s="1">
        <v>0</v>
      </c>
      <c r="I2025" s="1">
        <v>0</v>
      </c>
      <c r="J2025" s="1">
        <v>9</v>
      </c>
      <c r="K2025" s="1">
        <v>7</v>
      </c>
      <c r="L2025" s="1">
        <v>5</v>
      </c>
      <c r="M2025" s="1">
        <v>15</v>
      </c>
      <c r="N2025" s="1">
        <v>9</v>
      </c>
      <c r="O2025" s="1">
        <v>19</v>
      </c>
      <c r="P2025" s="1">
        <v>15</v>
      </c>
      <c r="Q2025" s="1">
        <v>13</v>
      </c>
      <c r="R2025" s="1">
        <v>18</v>
      </c>
      <c r="S2025" s="1">
        <v>13</v>
      </c>
      <c r="T2025" s="1">
        <v>29</v>
      </c>
      <c r="U2025" s="1">
        <v>21</v>
      </c>
      <c r="V2025" s="1">
        <v>25</v>
      </c>
    </row>
    <row r="2026" spans="1:22" x14ac:dyDescent="0.2">
      <c r="A2026" s="1" t="s">
        <v>1629</v>
      </c>
      <c r="B2026" s="1" t="s">
        <v>2033</v>
      </c>
      <c r="C2026" s="1">
        <v>0</v>
      </c>
      <c r="D2026" s="1">
        <v>0</v>
      </c>
      <c r="E2026" s="1">
        <v>0</v>
      </c>
      <c r="F2026" s="1">
        <v>0</v>
      </c>
      <c r="G2026" s="1">
        <v>0</v>
      </c>
      <c r="H2026" s="1">
        <v>0</v>
      </c>
      <c r="I2026" s="1">
        <v>0</v>
      </c>
      <c r="J2026" s="1">
        <v>0</v>
      </c>
      <c r="K2026" s="1">
        <v>43</v>
      </c>
      <c r="L2026" s="1">
        <v>83</v>
      </c>
      <c r="M2026" s="1">
        <v>17</v>
      </c>
      <c r="N2026" s="1">
        <v>100</v>
      </c>
      <c r="O2026" s="1">
        <v>144</v>
      </c>
      <c r="P2026" s="1">
        <v>8</v>
      </c>
      <c r="Q2026" s="1">
        <v>123</v>
      </c>
      <c r="R2026" s="1">
        <v>9</v>
      </c>
      <c r="S2026" s="1">
        <v>11</v>
      </c>
      <c r="T2026" s="1">
        <v>9</v>
      </c>
      <c r="U2026" s="1">
        <v>99</v>
      </c>
      <c r="V2026" s="1">
        <v>1</v>
      </c>
    </row>
    <row r="2027" spans="1:22" x14ac:dyDescent="0.2">
      <c r="A2027" s="1" t="s">
        <v>1629</v>
      </c>
      <c r="B2027" s="1" t="s">
        <v>2034</v>
      </c>
      <c r="C2027" s="1">
        <v>0</v>
      </c>
      <c r="D2027" s="1">
        <v>0</v>
      </c>
      <c r="E2027" s="1">
        <v>0</v>
      </c>
      <c r="F2027" s="1">
        <v>0</v>
      </c>
      <c r="G2027" s="1">
        <v>0</v>
      </c>
      <c r="H2027" s="1">
        <v>0</v>
      </c>
      <c r="I2027" s="1">
        <v>0</v>
      </c>
      <c r="J2027" s="1">
        <v>541</v>
      </c>
      <c r="K2027" s="1">
        <v>2627</v>
      </c>
      <c r="L2027" s="1">
        <v>3805</v>
      </c>
      <c r="M2027" s="1">
        <v>4149</v>
      </c>
      <c r="N2027" s="1">
        <v>5268</v>
      </c>
      <c r="O2027" s="1">
        <v>6936</v>
      </c>
      <c r="P2027" s="1">
        <v>6773</v>
      </c>
      <c r="Q2027" s="1">
        <v>6004</v>
      </c>
      <c r="R2027" s="1">
        <v>6434</v>
      </c>
      <c r="S2027" s="1">
        <v>6521</v>
      </c>
      <c r="T2027" s="1">
        <v>6390</v>
      </c>
      <c r="U2027" s="1">
        <v>5615</v>
      </c>
      <c r="V2027" s="1">
        <v>6187</v>
      </c>
    </row>
    <row r="2028" spans="1:22" x14ac:dyDescent="0.2">
      <c r="A2028" s="1" t="s">
        <v>1629</v>
      </c>
      <c r="B2028" s="1" t="s">
        <v>2035</v>
      </c>
      <c r="C2028" s="1">
        <v>0</v>
      </c>
      <c r="D2028" s="1">
        <v>0</v>
      </c>
      <c r="E2028" s="1">
        <v>0</v>
      </c>
      <c r="F2028" s="1">
        <v>0</v>
      </c>
      <c r="G2028" s="1">
        <v>0</v>
      </c>
      <c r="H2028" s="1">
        <v>0</v>
      </c>
      <c r="I2028" s="1">
        <v>0</v>
      </c>
      <c r="J2028" s="1">
        <v>0</v>
      </c>
      <c r="K2028" s="1">
        <v>12</v>
      </c>
      <c r="L2028" s="1">
        <v>10</v>
      </c>
      <c r="M2028" s="1">
        <v>6</v>
      </c>
      <c r="N2028" s="1">
        <v>13</v>
      </c>
      <c r="O2028" s="1">
        <v>11</v>
      </c>
      <c r="P2028" s="1">
        <v>3</v>
      </c>
      <c r="Q2028" s="1">
        <v>9</v>
      </c>
      <c r="R2028" s="1">
        <v>8</v>
      </c>
      <c r="S2028" s="1">
        <v>4</v>
      </c>
      <c r="T2028" s="1">
        <v>6</v>
      </c>
      <c r="U2028" s="1">
        <v>9</v>
      </c>
      <c r="V2028" s="1">
        <v>6</v>
      </c>
    </row>
    <row r="2029" spans="1:22" x14ac:dyDescent="0.2">
      <c r="A2029" s="1" t="s">
        <v>1629</v>
      </c>
      <c r="B2029" s="1" t="s">
        <v>2036</v>
      </c>
      <c r="C2029" s="1">
        <v>0</v>
      </c>
      <c r="D2029" s="1">
        <v>0</v>
      </c>
      <c r="E2029" s="1">
        <v>0</v>
      </c>
      <c r="F2029" s="1">
        <v>0</v>
      </c>
      <c r="G2029" s="1">
        <v>0</v>
      </c>
      <c r="H2029" s="1">
        <v>0</v>
      </c>
      <c r="I2029" s="1">
        <v>0</v>
      </c>
      <c r="J2029" s="1">
        <v>2094</v>
      </c>
      <c r="K2029" s="1">
        <v>4835</v>
      </c>
      <c r="L2029" s="1">
        <v>539</v>
      </c>
      <c r="M2029" s="1">
        <v>394</v>
      </c>
      <c r="N2029" s="1">
        <v>3707</v>
      </c>
      <c r="O2029" s="1">
        <v>5726</v>
      </c>
      <c r="P2029" s="1">
        <v>6081</v>
      </c>
      <c r="Q2029" s="1">
        <v>6875</v>
      </c>
      <c r="R2029" s="1">
        <v>6763</v>
      </c>
      <c r="S2029" s="1">
        <v>7010</v>
      </c>
      <c r="T2029" s="1">
        <v>7355</v>
      </c>
      <c r="U2029" s="1">
        <v>8405</v>
      </c>
      <c r="V2029" s="1">
        <v>8018</v>
      </c>
    </row>
    <row r="2030" spans="1:22" x14ac:dyDescent="0.2">
      <c r="A2030" s="1" t="s">
        <v>1629</v>
      </c>
      <c r="B2030" s="1" t="s">
        <v>2037</v>
      </c>
      <c r="C2030" s="1">
        <v>0</v>
      </c>
      <c r="D2030" s="1">
        <v>0</v>
      </c>
      <c r="E2030" s="1">
        <v>0</v>
      </c>
      <c r="F2030" s="1">
        <v>0</v>
      </c>
      <c r="G2030" s="1">
        <v>0</v>
      </c>
      <c r="H2030" s="1">
        <v>0</v>
      </c>
      <c r="I2030" s="1">
        <v>0</v>
      </c>
      <c r="J2030" s="1">
        <v>0</v>
      </c>
      <c r="K2030" s="1">
        <v>4</v>
      </c>
      <c r="L2030" s="1">
        <v>4</v>
      </c>
      <c r="M2030" s="1">
        <v>6</v>
      </c>
      <c r="N2030" s="1">
        <v>5</v>
      </c>
      <c r="O2030" s="1">
        <v>6</v>
      </c>
      <c r="P2030" s="1">
        <v>3</v>
      </c>
      <c r="Q2030" s="1">
        <v>0</v>
      </c>
      <c r="R2030" s="1">
        <v>1</v>
      </c>
      <c r="S2030" s="1">
        <v>0</v>
      </c>
      <c r="T2030" s="1">
        <v>0</v>
      </c>
      <c r="U2030" s="1">
        <v>1</v>
      </c>
      <c r="V2030" s="1">
        <v>1</v>
      </c>
    </row>
    <row r="2031" spans="1:22" x14ac:dyDescent="0.2">
      <c r="A2031" s="1" t="s">
        <v>1629</v>
      </c>
      <c r="B2031" s="1" t="s">
        <v>2038</v>
      </c>
      <c r="C2031" s="1">
        <v>0</v>
      </c>
      <c r="D2031" s="1">
        <v>0</v>
      </c>
      <c r="E2031" s="1">
        <v>0</v>
      </c>
      <c r="F2031" s="1">
        <v>0</v>
      </c>
      <c r="G2031" s="1">
        <v>0</v>
      </c>
      <c r="H2031" s="1">
        <v>0</v>
      </c>
      <c r="I2031" s="1">
        <v>0</v>
      </c>
      <c r="J2031" s="1">
        <v>0</v>
      </c>
      <c r="K2031" s="1">
        <v>0</v>
      </c>
      <c r="L2031" s="1">
        <v>0</v>
      </c>
      <c r="M2031" s="1">
        <v>0</v>
      </c>
      <c r="N2031" s="1">
        <v>0</v>
      </c>
      <c r="O2031" s="1">
        <v>2812</v>
      </c>
      <c r="P2031" s="1">
        <v>4038</v>
      </c>
      <c r="Q2031" s="1">
        <v>3708</v>
      </c>
      <c r="R2031" s="1">
        <v>3203</v>
      </c>
      <c r="S2031" s="1">
        <v>2962</v>
      </c>
      <c r="T2031" s="1">
        <v>2440</v>
      </c>
      <c r="U2031" s="1">
        <v>3026</v>
      </c>
      <c r="V2031" s="1">
        <v>3912</v>
      </c>
    </row>
    <row r="2032" spans="1:22" x14ac:dyDescent="0.2">
      <c r="A2032" s="1" t="s">
        <v>1629</v>
      </c>
      <c r="B2032" s="1" t="s">
        <v>2039</v>
      </c>
      <c r="C2032" s="1">
        <v>0</v>
      </c>
      <c r="D2032" s="1">
        <v>0</v>
      </c>
      <c r="E2032" s="1">
        <v>0</v>
      </c>
      <c r="F2032" s="1">
        <v>0</v>
      </c>
      <c r="G2032" s="1">
        <v>0</v>
      </c>
      <c r="H2032" s="1">
        <v>0</v>
      </c>
      <c r="I2032" s="1">
        <v>0</v>
      </c>
      <c r="J2032" s="1">
        <v>9</v>
      </c>
      <c r="K2032" s="1">
        <v>45</v>
      </c>
      <c r="L2032" s="1">
        <v>87</v>
      </c>
      <c r="M2032" s="1">
        <v>41</v>
      </c>
      <c r="N2032" s="1">
        <v>32</v>
      </c>
      <c r="O2032" s="1">
        <v>61</v>
      </c>
      <c r="P2032" s="1">
        <v>38</v>
      </c>
      <c r="Q2032" s="1">
        <v>28</v>
      </c>
      <c r="R2032" s="1">
        <v>32</v>
      </c>
      <c r="S2032" s="1">
        <v>29</v>
      </c>
      <c r="T2032" s="1">
        <v>23</v>
      </c>
      <c r="U2032" s="1">
        <v>31</v>
      </c>
      <c r="V2032" s="1">
        <v>50</v>
      </c>
    </row>
    <row r="2033" spans="1:22" x14ac:dyDescent="0.2">
      <c r="A2033" s="1" t="s">
        <v>1629</v>
      </c>
      <c r="B2033" s="1" t="s">
        <v>2040</v>
      </c>
      <c r="C2033" s="1">
        <v>0</v>
      </c>
      <c r="D2033" s="1">
        <v>0</v>
      </c>
      <c r="E2033" s="1">
        <v>0</v>
      </c>
      <c r="F2033" s="1">
        <v>0</v>
      </c>
      <c r="G2033" s="1">
        <v>0</v>
      </c>
      <c r="H2033" s="1">
        <v>0</v>
      </c>
      <c r="I2033" s="1">
        <v>0</v>
      </c>
      <c r="J2033" s="1">
        <v>2</v>
      </c>
      <c r="K2033" s="1">
        <v>16</v>
      </c>
      <c r="L2033" s="1">
        <v>43</v>
      </c>
      <c r="M2033" s="1">
        <v>40</v>
      </c>
      <c r="N2033" s="1">
        <v>18</v>
      </c>
      <c r="O2033" s="1">
        <v>205</v>
      </c>
      <c r="P2033" s="1">
        <v>16</v>
      </c>
      <c r="Q2033" s="1">
        <v>12</v>
      </c>
      <c r="R2033" s="1">
        <v>5</v>
      </c>
      <c r="S2033" s="1">
        <v>15</v>
      </c>
      <c r="T2033" s="1">
        <v>8</v>
      </c>
      <c r="U2033" s="1">
        <v>22</v>
      </c>
      <c r="V2033" s="1">
        <v>21</v>
      </c>
    </row>
    <row r="2034" spans="1:22" x14ac:dyDescent="0.2">
      <c r="A2034" s="1" t="s">
        <v>1629</v>
      </c>
      <c r="B2034" s="1" t="s">
        <v>2041</v>
      </c>
      <c r="C2034" s="1">
        <v>0</v>
      </c>
      <c r="D2034" s="1">
        <v>0</v>
      </c>
      <c r="E2034" s="1">
        <v>0</v>
      </c>
      <c r="F2034" s="1">
        <v>0</v>
      </c>
      <c r="G2034" s="1">
        <v>0</v>
      </c>
      <c r="H2034" s="1">
        <v>0</v>
      </c>
      <c r="I2034" s="1">
        <v>0</v>
      </c>
      <c r="J2034" s="1">
        <v>12</v>
      </c>
      <c r="K2034" s="1">
        <v>71</v>
      </c>
      <c r="L2034" s="1">
        <v>81</v>
      </c>
      <c r="M2034" s="1">
        <v>87</v>
      </c>
      <c r="N2034" s="1">
        <v>98</v>
      </c>
      <c r="O2034" s="1">
        <v>99</v>
      </c>
      <c r="P2034" s="1">
        <v>102</v>
      </c>
      <c r="Q2034" s="1">
        <v>76</v>
      </c>
      <c r="R2034" s="1">
        <v>92</v>
      </c>
      <c r="S2034" s="1">
        <v>82</v>
      </c>
      <c r="T2034" s="1">
        <v>129</v>
      </c>
      <c r="U2034" s="1">
        <v>141</v>
      </c>
      <c r="V2034" s="1">
        <v>198</v>
      </c>
    </row>
    <row r="2035" spans="1:22" x14ac:dyDescent="0.2">
      <c r="A2035" s="1" t="s">
        <v>1629</v>
      </c>
      <c r="B2035" s="1" t="s">
        <v>2042</v>
      </c>
      <c r="C2035" s="1">
        <v>0</v>
      </c>
      <c r="D2035" s="1">
        <v>0</v>
      </c>
      <c r="E2035" s="1">
        <v>0</v>
      </c>
      <c r="F2035" s="1">
        <v>0</v>
      </c>
      <c r="G2035" s="1">
        <v>0</v>
      </c>
      <c r="H2035" s="1">
        <v>0</v>
      </c>
      <c r="I2035" s="1">
        <v>0</v>
      </c>
      <c r="J2035" s="1">
        <v>18</v>
      </c>
      <c r="K2035" s="1">
        <v>63</v>
      </c>
      <c r="L2035" s="1">
        <v>132</v>
      </c>
      <c r="M2035" s="1">
        <v>132</v>
      </c>
      <c r="N2035" s="1">
        <v>80</v>
      </c>
      <c r="O2035" s="1">
        <v>123</v>
      </c>
      <c r="P2035" s="1">
        <v>84</v>
      </c>
      <c r="Q2035" s="1">
        <v>75</v>
      </c>
      <c r="R2035" s="1">
        <v>81</v>
      </c>
      <c r="S2035" s="1">
        <v>113</v>
      </c>
      <c r="T2035" s="1">
        <v>125</v>
      </c>
      <c r="U2035" s="1">
        <v>181</v>
      </c>
      <c r="V2035" s="1">
        <v>167</v>
      </c>
    </row>
    <row r="2036" spans="1:22" x14ac:dyDescent="0.2">
      <c r="A2036" s="1" t="s">
        <v>1629</v>
      </c>
      <c r="B2036" s="1" t="s">
        <v>2043</v>
      </c>
      <c r="C2036" s="1">
        <v>0</v>
      </c>
      <c r="D2036" s="1">
        <v>0</v>
      </c>
      <c r="E2036" s="1">
        <v>0</v>
      </c>
      <c r="F2036" s="1">
        <v>0</v>
      </c>
      <c r="G2036" s="1">
        <v>0</v>
      </c>
      <c r="H2036" s="1">
        <v>0</v>
      </c>
      <c r="I2036" s="1">
        <v>0</v>
      </c>
      <c r="J2036" s="1">
        <v>1794</v>
      </c>
      <c r="K2036" s="1">
        <v>5630</v>
      </c>
      <c r="L2036" s="1">
        <v>1378</v>
      </c>
      <c r="M2036" s="1">
        <v>770</v>
      </c>
      <c r="N2036" s="1">
        <v>1031</v>
      </c>
      <c r="O2036" s="1">
        <v>998</v>
      </c>
      <c r="P2036" s="1">
        <v>223</v>
      </c>
      <c r="Q2036" s="1">
        <v>64</v>
      </c>
      <c r="R2036" s="1">
        <v>78</v>
      </c>
      <c r="S2036" s="1">
        <v>8</v>
      </c>
      <c r="T2036" s="1">
        <v>3</v>
      </c>
      <c r="U2036" s="1">
        <v>0</v>
      </c>
      <c r="V2036" s="1">
        <v>0</v>
      </c>
    </row>
    <row r="2037" spans="1:22" x14ac:dyDescent="0.2">
      <c r="A2037" s="1" t="s">
        <v>1629</v>
      </c>
      <c r="B2037" s="1" t="s">
        <v>2044</v>
      </c>
      <c r="C2037" s="1">
        <v>0</v>
      </c>
      <c r="D2037" s="1">
        <v>0</v>
      </c>
      <c r="E2037" s="1">
        <v>0</v>
      </c>
      <c r="F2037" s="1">
        <v>0</v>
      </c>
      <c r="G2037" s="1">
        <v>0</v>
      </c>
      <c r="H2037" s="1">
        <v>0</v>
      </c>
      <c r="I2037" s="1">
        <v>0</v>
      </c>
      <c r="J2037" s="1">
        <v>383</v>
      </c>
      <c r="K2037" s="1">
        <v>318</v>
      </c>
      <c r="L2037" s="1">
        <v>97</v>
      </c>
      <c r="M2037" s="1">
        <v>149</v>
      </c>
      <c r="N2037" s="1">
        <v>715</v>
      </c>
      <c r="O2037" s="1">
        <v>20</v>
      </c>
      <c r="P2037" s="1">
        <v>56</v>
      </c>
      <c r="Q2037" s="1">
        <v>3</v>
      </c>
      <c r="R2037" s="1">
        <v>0</v>
      </c>
      <c r="S2037" s="1">
        <v>8</v>
      </c>
      <c r="T2037" s="1">
        <v>18</v>
      </c>
      <c r="U2037" s="1">
        <v>43</v>
      </c>
      <c r="V2037" s="1">
        <v>113</v>
      </c>
    </row>
    <row r="2038" spans="1:22" x14ac:dyDescent="0.2">
      <c r="A2038" s="1" t="s">
        <v>1629</v>
      </c>
      <c r="B2038" s="1" t="s">
        <v>2045</v>
      </c>
      <c r="C2038" s="1">
        <f t="shared" ref="C2038:V2038" si="313">SUM(C2039:C2089)</f>
        <v>561</v>
      </c>
      <c r="D2038" s="1">
        <f t="shared" si="313"/>
        <v>797</v>
      </c>
      <c r="E2038" s="1">
        <f t="shared" si="313"/>
        <v>820</v>
      </c>
      <c r="F2038" s="1">
        <f t="shared" si="313"/>
        <v>719</v>
      </c>
      <c r="G2038" s="1">
        <f t="shared" si="313"/>
        <v>954</v>
      </c>
      <c r="H2038" s="1">
        <f t="shared" si="313"/>
        <v>884</v>
      </c>
      <c r="I2038" s="1">
        <f t="shared" si="313"/>
        <v>1250</v>
      </c>
      <c r="J2038" s="1">
        <f t="shared" si="313"/>
        <v>1754</v>
      </c>
      <c r="K2038" s="1">
        <f t="shared" si="313"/>
        <v>1982</v>
      </c>
      <c r="L2038" s="1">
        <f>SUM(L2039:L2085)</f>
        <v>2863</v>
      </c>
      <c r="M2038" s="1">
        <f>SUM(M2039:M2085)</f>
        <v>1743</v>
      </c>
      <c r="N2038" s="1">
        <f>SUM(N2039:N2085)</f>
        <v>1892</v>
      </c>
      <c r="O2038" s="1">
        <f t="shared" si="313"/>
        <v>3165</v>
      </c>
      <c r="P2038" s="1">
        <f t="shared" si="313"/>
        <v>2011</v>
      </c>
      <c r="Q2038" s="1">
        <f t="shared" si="313"/>
        <v>1430</v>
      </c>
      <c r="R2038" s="1">
        <f t="shared" si="313"/>
        <v>1196</v>
      </c>
      <c r="S2038" s="1">
        <f t="shared" si="313"/>
        <v>773</v>
      </c>
      <c r="T2038" s="1">
        <f t="shared" si="313"/>
        <v>746</v>
      </c>
      <c r="U2038" s="1">
        <f t="shared" si="313"/>
        <v>1307</v>
      </c>
      <c r="V2038" s="1">
        <f t="shared" si="313"/>
        <v>1616</v>
      </c>
    </row>
    <row r="2039" spans="1:22" x14ac:dyDescent="0.2">
      <c r="A2039" s="1" t="s">
        <v>1629</v>
      </c>
      <c r="B2039" s="1" t="s">
        <v>2046</v>
      </c>
      <c r="C2039" s="1">
        <v>7</v>
      </c>
      <c r="D2039" s="1">
        <v>5</v>
      </c>
      <c r="E2039" s="1">
        <v>105</v>
      </c>
      <c r="F2039" s="1">
        <v>2</v>
      </c>
      <c r="G2039" s="1">
        <v>14</v>
      </c>
      <c r="H2039" s="1">
        <v>9</v>
      </c>
      <c r="I2039" s="1">
        <v>4</v>
      </c>
      <c r="J2039" s="1">
        <v>10</v>
      </c>
      <c r="K2039" s="1">
        <v>69</v>
      </c>
      <c r="L2039" s="1">
        <v>11</v>
      </c>
      <c r="M2039" s="1">
        <v>12</v>
      </c>
      <c r="N2039" s="1">
        <v>23</v>
      </c>
      <c r="O2039" s="1">
        <v>6</v>
      </c>
      <c r="P2039" s="1">
        <v>4</v>
      </c>
      <c r="Q2039" s="1">
        <v>9</v>
      </c>
      <c r="R2039" s="1">
        <v>4</v>
      </c>
      <c r="S2039" s="1">
        <v>10</v>
      </c>
      <c r="T2039" s="1">
        <v>2</v>
      </c>
      <c r="U2039" s="1">
        <v>8</v>
      </c>
      <c r="V2039" s="1">
        <v>7</v>
      </c>
    </row>
    <row r="2040" spans="1:22" x14ac:dyDescent="0.2">
      <c r="A2040" s="1" t="s">
        <v>1629</v>
      </c>
      <c r="B2040" s="1" t="s">
        <v>2047</v>
      </c>
      <c r="C2040" s="1">
        <v>1</v>
      </c>
      <c r="D2040" s="1">
        <v>7</v>
      </c>
      <c r="E2040" s="1">
        <v>9</v>
      </c>
      <c r="F2040" s="1">
        <v>2</v>
      </c>
      <c r="G2040" s="1">
        <v>7</v>
      </c>
      <c r="H2040" s="1">
        <v>0</v>
      </c>
      <c r="I2040" s="1">
        <v>0</v>
      </c>
      <c r="J2040" s="1">
        <v>2</v>
      </c>
      <c r="K2040" s="1">
        <v>2</v>
      </c>
      <c r="L2040" s="1">
        <v>22</v>
      </c>
      <c r="M2040" s="1">
        <v>1</v>
      </c>
      <c r="N2040" s="1">
        <v>6</v>
      </c>
      <c r="O2040" s="1">
        <v>3</v>
      </c>
      <c r="P2040" s="1">
        <v>2</v>
      </c>
      <c r="Q2040" s="1">
        <v>16</v>
      </c>
      <c r="R2040" s="1">
        <v>4</v>
      </c>
      <c r="S2040" s="1">
        <v>7</v>
      </c>
      <c r="T2040" s="1">
        <v>14</v>
      </c>
      <c r="U2040" s="1">
        <v>5</v>
      </c>
      <c r="V2040" s="1">
        <v>5</v>
      </c>
    </row>
    <row r="2041" spans="1:22" x14ac:dyDescent="0.2">
      <c r="A2041" s="1" t="s">
        <v>1629</v>
      </c>
      <c r="B2041" s="1" t="s">
        <v>2048</v>
      </c>
      <c r="C2041" s="1">
        <v>66</v>
      </c>
      <c r="D2041" s="1">
        <v>24</v>
      </c>
      <c r="E2041" s="1">
        <v>4</v>
      </c>
      <c r="F2041" s="1">
        <v>22</v>
      </c>
      <c r="G2041" s="1">
        <v>55</v>
      </c>
      <c r="H2041" s="1">
        <v>0</v>
      </c>
      <c r="I2041" s="1">
        <v>0</v>
      </c>
      <c r="J2041" s="1">
        <v>0</v>
      </c>
      <c r="K2041" s="1">
        <v>0</v>
      </c>
      <c r="L2041" s="1">
        <v>79</v>
      </c>
      <c r="M2041" s="1">
        <v>63</v>
      </c>
      <c r="N2041" s="1">
        <v>121</v>
      </c>
      <c r="O2041" s="1">
        <v>201</v>
      </c>
      <c r="P2041" s="1">
        <v>14</v>
      </c>
      <c r="Q2041" s="1">
        <v>6</v>
      </c>
      <c r="R2041" s="1">
        <v>6</v>
      </c>
      <c r="S2041" s="1">
        <v>2</v>
      </c>
      <c r="T2041" s="1">
        <v>6</v>
      </c>
      <c r="U2041" s="1">
        <v>12</v>
      </c>
      <c r="V2041" s="1">
        <v>4</v>
      </c>
    </row>
    <row r="2042" spans="1:22" x14ac:dyDescent="0.2">
      <c r="A2042" s="1" t="s">
        <v>1629</v>
      </c>
      <c r="B2042" s="1" t="s">
        <v>2049</v>
      </c>
      <c r="C2042" s="1">
        <v>0</v>
      </c>
      <c r="D2042" s="1">
        <v>0</v>
      </c>
      <c r="E2042" s="1">
        <v>0</v>
      </c>
      <c r="F2042" s="1">
        <v>0</v>
      </c>
      <c r="G2042" s="1">
        <v>0</v>
      </c>
      <c r="H2042" s="1">
        <v>10</v>
      </c>
      <c r="I2042" s="1">
        <v>3</v>
      </c>
      <c r="J2042" s="1">
        <v>0</v>
      </c>
      <c r="K2042" s="1">
        <v>2</v>
      </c>
      <c r="L2042" s="1">
        <v>0</v>
      </c>
      <c r="M2042" s="1">
        <v>3</v>
      </c>
      <c r="N2042" s="1">
        <v>1</v>
      </c>
      <c r="O2042" s="1">
        <v>0</v>
      </c>
      <c r="P2042" s="1">
        <v>0</v>
      </c>
      <c r="Q2042" s="1">
        <v>0</v>
      </c>
      <c r="R2042" s="1">
        <v>0</v>
      </c>
      <c r="S2042" s="1">
        <v>0</v>
      </c>
      <c r="T2042" s="1">
        <v>1</v>
      </c>
      <c r="U2042" s="1">
        <v>3</v>
      </c>
      <c r="V2042" s="1">
        <v>0</v>
      </c>
    </row>
    <row r="2043" spans="1:22" x14ac:dyDescent="0.2">
      <c r="A2043" s="1" t="s">
        <v>1629</v>
      </c>
      <c r="B2043" s="1" t="s">
        <v>2050</v>
      </c>
      <c r="C2043" s="1">
        <v>24</v>
      </c>
      <c r="D2043" s="1">
        <v>0</v>
      </c>
      <c r="E2043" s="1">
        <v>0</v>
      </c>
      <c r="F2043" s="1">
        <v>0</v>
      </c>
      <c r="G2043" s="1">
        <v>0</v>
      </c>
      <c r="H2043" s="1">
        <v>0</v>
      </c>
      <c r="I2043" s="1">
        <v>0</v>
      </c>
      <c r="J2043" s="1">
        <v>0</v>
      </c>
      <c r="K2043" s="1">
        <v>2</v>
      </c>
      <c r="L2043" s="1">
        <v>1</v>
      </c>
      <c r="M2043" s="1">
        <v>1</v>
      </c>
      <c r="N2043" s="1">
        <v>1</v>
      </c>
      <c r="O2043" s="1">
        <v>1</v>
      </c>
      <c r="P2043" s="1">
        <v>2</v>
      </c>
      <c r="Q2043" s="1">
        <v>0</v>
      </c>
      <c r="R2043" s="1">
        <v>1</v>
      </c>
      <c r="S2043" s="1">
        <v>0</v>
      </c>
      <c r="T2043" s="1">
        <v>0</v>
      </c>
      <c r="U2043" s="1">
        <v>0</v>
      </c>
      <c r="V2043" s="1">
        <v>0</v>
      </c>
    </row>
    <row r="2044" spans="1:22" x14ac:dyDescent="0.2">
      <c r="A2044" s="1" t="s">
        <v>1629</v>
      </c>
      <c r="B2044" s="1" t="s">
        <v>2051</v>
      </c>
      <c r="C2044" s="1">
        <v>0</v>
      </c>
      <c r="D2044" s="1">
        <v>0</v>
      </c>
      <c r="E2044" s="1">
        <v>0</v>
      </c>
      <c r="F2044" s="1">
        <v>0</v>
      </c>
      <c r="G2044" s="1">
        <v>0</v>
      </c>
      <c r="H2044" s="1">
        <v>0</v>
      </c>
      <c r="I2044" s="1">
        <v>1</v>
      </c>
      <c r="J2044" s="1">
        <v>1</v>
      </c>
      <c r="K2044" s="1">
        <v>5</v>
      </c>
      <c r="L2044" s="1">
        <v>2</v>
      </c>
      <c r="M2044" s="1">
        <v>3</v>
      </c>
      <c r="N2044" s="1">
        <v>1</v>
      </c>
      <c r="V2044" s="1">
        <v>0</v>
      </c>
    </row>
    <row r="2045" spans="1:22" x14ac:dyDescent="0.2">
      <c r="A2045" s="1" t="s">
        <v>1629</v>
      </c>
      <c r="B2045" s="1" t="s">
        <v>2052</v>
      </c>
      <c r="C2045" s="1">
        <v>89</v>
      </c>
      <c r="D2045" s="1">
        <v>99</v>
      </c>
      <c r="E2045" s="1">
        <v>85</v>
      </c>
      <c r="F2045" s="1">
        <v>83</v>
      </c>
      <c r="G2045" s="1">
        <v>83</v>
      </c>
      <c r="H2045" s="1">
        <v>93</v>
      </c>
      <c r="I2045" s="1">
        <v>84</v>
      </c>
      <c r="J2045" s="1">
        <v>77</v>
      </c>
      <c r="K2045" s="1">
        <v>136</v>
      </c>
      <c r="L2045" s="1">
        <v>206</v>
      </c>
      <c r="M2045" s="1">
        <v>261</v>
      </c>
      <c r="N2045" s="1">
        <v>262</v>
      </c>
      <c r="O2045" s="1">
        <v>262</v>
      </c>
      <c r="P2045" s="1">
        <v>189</v>
      </c>
      <c r="Q2045" s="1">
        <v>200</v>
      </c>
      <c r="R2045" s="1">
        <v>208</v>
      </c>
      <c r="S2045" s="1">
        <v>158</v>
      </c>
      <c r="T2045" s="1">
        <v>3</v>
      </c>
      <c r="U2045" s="1">
        <v>140</v>
      </c>
      <c r="V2045" s="1">
        <v>254</v>
      </c>
    </row>
    <row r="2046" spans="1:22" x14ac:dyDescent="0.2">
      <c r="A2046" s="1" t="s">
        <v>1629</v>
      </c>
      <c r="B2046" s="1" t="s">
        <v>2053</v>
      </c>
      <c r="C2046" s="1">
        <v>0</v>
      </c>
      <c r="D2046" s="1">
        <v>0</v>
      </c>
      <c r="E2046" s="1">
        <v>0</v>
      </c>
      <c r="F2046" s="1">
        <v>0</v>
      </c>
      <c r="G2046" s="1">
        <v>0</v>
      </c>
      <c r="H2046" s="1">
        <v>0</v>
      </c>
      <c r="I2046" s="1">
        <v>0</v>
      </c>
      <c r="J2046" s="1">
        <v>0</v>
      </c>
      <c r="K2046" s="1">
        <v>0</v>
      </c>
      <c r="L2046" s="1">
        <v>0</v>
      </c>
      <c r="M2046" s="1">
        <v>0</v>
      </c>
      <c r="N2046" s="1">
        <v>0</v>
      </c>
      <c r="O2046" s="1">
        <v>0</v>
      </c>
      <c r="P2046" s="1">
        <v>2</v>
      </c>
      <c r="Q2046" s="1">
        <v>0</v>
      </c>
      <c r="R2046" s="1">
        <v>0</v>
      </c>
      <c r="S2046" s="1">
        <v>0</v>
      </c>
      <c r="T2046" s="1">
        <v>3</v>
      </c>
      <c r="U2046" s="1">
        <v>1</v>
      </c>
      <c r="V2046" s="1">
        <v>1</v>
      </c>
    </row>
    <row r="2047" spans="1:22" x14ac:dyDescent="0.2">
      <c r="A2047" s="1" t="s">
        <v>1629</v>
      </c>
      <c r="B2047" s="1" t="s">
        <v>2054</v>
      </c>
      <c r="C2047" s="1">
        <v>0</v>
      </c>
      <c r="D2047" s="1">
        <v>0</v>
      </c>
      <c r="E2047" s="1">
        <v>0</v>
      </c>
      <c r="F2047" s="1">
        <v>0</v>
      </c>
      <c r="G2047" s="1">
        <v>0</v>
      </c>
      <c r="H2047" s="1">
        <v>0</v>
      </c>
      <c r="I2047" s="1">
        <v>0</v>
      </c>
      <c r="J2047" s="1">
        <v>0</v>
      </c>
      <c r="K2047" s="1">
        <v>0</v>
      </c>
      <c r="L2047" s="1">
        <v>800</v>
      </c>
      <c r="M2047" s="1">
        <v>87</v>
      </c>
      <c r="N2047" s="1">
        <v>544</v>
      </c>
      <c r="O2047" s="1">
        <v>1839</v>
      </c>
      <c r="P2047" s="1">
        <v>1173</v>
      </c>
      <c r="Q2047" s="1">
        <v>517</v>
      </c>
      <c r="R2047" s="1">
        <v>182</v>
      </c>
      <c r="S2047" s="1">
        <v>19</v>
      </c>
      <c r="T2047" s="1">
        <v>131</v>
      </c>
      <c r="U2047" s="1">
        <v>61</v>
      </c>
      <c r="V2047" s="1">
        <v>447</v>
      </c>
    </row>
    <row r="2048" spans="1:22" x14ac:dyDescent="0.2">
      <c r="A2048" s="1" t="s">
        <v>1629</v>
      </c>
      <c r="B2048" s="1" t="s">
        <v>2055</v>
      </c>
      <c r="C2048" s="1">
        <v>0</v>
      </c>
      <c r="D2048" s="1">
        <v>0</v>
      </c>
      <c r="E2048" s="1">
        <v>0</v>
      </c>
      <c r="F2048" s="1">
        <v>0</v>
      </c>
      <c r="G2048" s="1">
        <v>0</v>
      </c>
      <c r="H2048" s="1">
        <v>0</v>
      </c>
      <c r="I2048" s="1">
        <v>0</v>
      </c>
      <c r="J2048" s="1">
        <v>0</v>
      </c>
      <c r="K2048" s="1">
        <v>0</v>
      </c>
      <c r="L2048" s="1">
        <v>0</v>
      </c>
      <c r="M2048" s="1">
        <v>0</v>
      </c>
      <c r="N2048" s="1">
        <v>0</v>
      </c>
      <c r="O2048" s="1">
        <v>40</v>
      </c>
      <c r="P2048" s="1">
        <v>103</v>
      </c>
      <c r="Q2048" s="1">
        <v>124</v>
      </c>
      <c r="R2048" s="1">
        <v>318</v>
      </c>
      <c r="S2048" s="1">
        <v>154</v>
      </c>
      <c r="T2048" s="1">
        <v>130</v>
      </c>
      <c r="U2048" s="1">
        <v>230</v>
      </c>
      <c r="V2048" s="1">
        <v>298</v>
      </c>
    </row>
    <row r="2049" spans="1:22" x14ac:dyDescent="0.2">
      <c r="A2049" s="1" t="s">
        <v>1629</v>
      </c>
      <c r="B2049" s="1" t="s">
        <v>2056</v>
      </c>
      <c r="C2049" s="1">
        <v>24</v>
      </c>
      <c r="D2049" s="1">
        <v>49</v>
      </c>
      <c r="E2049" s="1">
        <v>19</v>
      </c>
      <c r="F2049" s="1">
        <v>12</v>
      </c>
      <c r="G2049" s="1">
        <v>38</v>
      </c>
      <c r="H2049" s="1">
        <v>24</v>
      </c>
      <c r="I2049" s="1">
        <v>49</v>
      </c>
      <c r="J2049" s="1">
        <v>28</v>
      </c>
      <c r="K2049" s="1">
        <v>43</v>
      </c>
      <c r="L2049" s="1">
        <v>46</v>
      </c>
      <c r="M2049" s="1">
        <v>33</v>
      </c>
      <c r="N2049" s="1">
        <v>32</v>
      </c>
      <c r="O2049" s="1">
        <v>23</v>
      </c>
      <c r="P2049" s="1">
        <v>20</v>
      </c>
      <c r="Q2049" s="1">
        <v>5</v>
      </c>
      <c r="R2049" s="1">
        <v>30</v>
      </c>
      <c r="S2049" s="1">
        <v>17</v>
      </c>
      <c r="T2049" s="1">
        <v>25</v>
      </c>
      <c r="U2049" s="1">
        <v>20</v>
      </c>
      <c r="V2049" s="1">
        <v>17</v>
      </c>
    </row>
    <row r="2050" spans="1:22" x14ac:dyDescent="0.2">
      <c r="A2050" s="1" t="s">
        <v>1629</v>
      </c>
      <c r="B2050" s="1" t="s">
        <v>2057</v>
      </c>
      <c r="C2050" s="1">
        <v>0</v>
      </c>
      <c r="D2050" s="1">
        <v>0</v>
      </c>
      <c r="E2050" s="1">
        <v>0</v>
      </c>
      <c r="F2050" s="1">
        <v>0</v>
      </c>
      <c r="G2050" s="1">
        <v>0</v>
      </c>
      <c r="H2050" s="1">
        <v>0</v>
      </c>
      <c r="I2050" s="1">
        <v>0</v>
      </c>
      <c r="J2050" s="1">
        <v>0</v>
      </c>
      <c r="K2050" s="1">
        <v>0</v>
      </c>
      <c r="L2050" s="1">
        <v>1</v>
      </c>
      <c r="M2050" s="1">
        <v>0</v>
      </c>
      <c r="N2050" s="1">
        <v>0</v>
      </c>
      <c r="O2050" s="1">
        <v>0</v>
      </c>
      <c r="P2050" s="1">
        <v>1</v>
      </c>
      <c r="Q2050" s="1">
        <v>0</v>
      </c>
      <c r="R2050" s="1">
        <v>0</v>
      </c>
      <c r="S2050" s="1">
        <v>0</v>
      </c>
      <c r="T2050" s="1">
        <v>0</v>
      </c>
      <c r="U2050" s="1">
        <v>0</v>
      </c>
      <c r="V2050" s="1">
        <v>0</v>
      </c>
    </row>
    <row r="2051" spans="1:22" x14ac:dyDescent="0.2">
      <c r="A2051" s="1" t="s">
        <v>1629</v>
      </c>
      <c r="B2051" s="1" t="s">
        <v>2058</v>
      </c>
      <c r="C2051" s="1">
        <v>0</v>
      </c>
      <c r="D2051" s="1">
        <v>0</v>
      </c>
      <c r="E2051" s="1">
        <v>0</v>
      </c>
      <c r="F2051" s="1">
        <v>0</v>
      </c>
      <c r="G2051" s="1">
        <v>0</v>
      </c>
      <c r="H2051" s="1">
        <v>0</v>
      </c>
      <c r="I2051" s="1">
        <v>0</v>
      </c>
      <c r="J2051" s="1">
        <v>0</v>
      </c>
      <c r="K2051" s="1">
        <v>1</v>
      </c>
      <c r="L2051" s="1">
        <v>0</v>
      </c>
      <c r="M2051" s="1">
        <v>0</v>
      </c>
      <c r="N2051" s="1">
        <v>0</v>
      </c>
      <c r="V2051" s="1">
        <v>0</v>
      </c>
    </row>
    <row r="2052" spans="1:22" x14ac:dyDescent="0.2">
      <c r="A2052" s="1" t="s">
        <v>1629</v>
      </c>
      <c r="B2052" s="1" t="s">
        <v>2059</v>
      </c>
      <c r="C2052" s="1">
        <v>0</v>
      </c>
      <c r="D2052" s="1">
        <v>0</v>
      </c>
      <c r="E2052" s="1">
        <v>0</v>
      </c>
      <c r="F2052" s="1">
        <v>0</v>
      </c>
      <c r="G2052" s="1">
        <v>0</v>
      </c>
      <c r="H2052" s="1">
        <v>0</v>
      </c>
      <c r="I2052" s="1">
        <v>0</v>
      </c>
      <c r="J2052" s="1">
        <v>0</v>
      </c>
      <c r="K2052" s="1">
        <v>0</v>
      </c>
      <c r="L2052" s="1">
        <v>0</v>
      </c>
      <c r="M2052" s="1">
        <v>1</v>
      </c>
      <c r="N2052" s="1">
        <v>1</v>
      </c>
      <c r="O2052" s="1">
        <v>3</v>
      </c>
      <c r="P2052" s="1">
        <v>1</v>
      </c>
      <c r="Q2052" s="1">
        <v>0</v>
      </c>
      <c r="R2052" s="1">
        <v>3</v>
      </c>
      <c r="S2052" s="1">
        <v>6</v>
      </c>
      <c r="T2052" s="1">
        <v>15</v>
      </c>
      <c r="U2052" s="1">
        <v>22</v>
      </c>
      <c r="V2052" s="1">
        <v>0</v>
      </c>
    </row>
    <row r="2053" spans="1:22" x14ac:dyDescent="0.2">
      <c r="A2053" s="1" t="s">
        <v>1629</v>
      </c>
      <c r="B2053" s="1" t="s">
        <v>2060</v>
      </c>
      <c r="C2053" s="1">
        <v>0</v>
      </c>
      <c r="D2053" s="1">
        <v>0</v>
      </c>
      <c r="E2053" s="1">
        <v>0</v>
      </c>
      <c r="F2053" s="1">
        <v>0</v>
      </c>
      <c r="G2053" s="1">
        <v>0</v>
      </c>
      <c r="H2053" s="1">
        <v>0</v>
      </c>
      <c r="I2053" s="1">
        <v>0</v>
      </c>
      <c r="J2053" s="1">
        <v>0</v>
      </c>
      <c r="K2053" s="1">
        <v>0</v>
      </c>
      <c r="L2053" s="1">
        <v>0</v>
      </c>
      <c r="M2053" s="1">
        <v>1</v>
      </c>
      <c r="N2053" s="1">
        <v>0</v>
      </c>
      <c r="O2053" s="1">
        <v>0</v>
      </c>
      <c r="P2053" s="1">
        <v>0</v>
      </c>
      <c r="Q2053" s="1">
        <v>1</v>
      </c>
      <c r="R2053" s="1">
        <v>0</v>
      </c>
      <c r="S2053" s="1">
        <v>0</v>
      </c>
      <c r="T2053" s="1">
        <v>0</v>
      </c>
      <c r="U2053" s="1">
        <v>0</v>
      </c>
      <c r="V2053" s="1">
        <v>0</v>
      </c>
    </row>
    <row r="2054" spans="1:22" x14ac:dyDescent="0.2">
      <c r="A2054" s="1" t="s">
        <v>1629</v>
      </c>
      <c r="B2054" s="1" t="s">
        <v>2061</v>
      </c>
      <c r="C2054" s="1">
        <v>0</v>
      </c>
      <c r="D2054" s="1">
        <v>0</v>
      </c>
      <c r="E2054" s="1">
        <v>0</v>
      </c>
      <c r="F2054" s="1">
        <v>0</v>
      </c>
      <c r="G2054" s="1">
        <v>0</v>
      </c>
      <c r="H2054" s="1">
        <v>0</v>
      </c>
      <c r="I2054" s="1">
        <v>0</v>
      </c>
      <c r="J2054" s="1">
        <v>0</v>
      </c>
      <c r="K2054" s="1">
        <v>7</v>
      </c>
      <c r="L2054" s="1">
        <v>5</v>
      </c>
      <c r="M2054" s="1">
        <v>0</v>
      </c>
      <c r="N2054" s="1">
        <v>0</v>
      </c>
      <c r="O2054" s="1">
        <v>1</v>
      </c>
      <c r="P2054" s="1">
        <v>1</v>
      </c>
      <c r="Q2054" s="1">
        <v>2</v>
      </c>
      <c r="R2054" s="1">
        <v>2</v>
      </c>
      <c r="S2054" s="1">
        <v>2</v>
      </c>
      <c r="T2054" s="1">
        <v>1</v>
      </c>
      <c r="U2054" s="1">
        <v>0</v>
      </c>
      <c r="V2054" s="1">
        <v>1</v>
      </c>
    </row>
    <row r="2055" spans="1:22" x14ac:dyDescent="0.2">
      <c r="A2055" s="1" t="s">
        <v>1629</v>
      </c>
      <c r="B2055" s="1" t="s">
        <v>2062</v>
      </c>
      <c r="C2055" s="1">
        <v>0</v>
      </c>
      <c r="D2055" s="1">
        <v>0</v>
      </c>
      <c r="E2055" s="1">
        <v>0</v>
      </c>
      <c r="F2055" s="1">
        <v>0</v>
      </c>
      <c r="G2055" s="1">
        <v>0</v>
      </c>
      <c r="H2055" s="1">
        <v>0</v>
      </c>
      <c r="I2055" s="1">
        <v>0</v>
      </c>
      <c r="J2055" s="1">
        <v>0</v>
      </c>
      <c r="K2055" s="1">
        <v>0</v>
      </c>
      <c r="L2055" s="1">
        <v>0</v>
      </c>
      <c r="M2055" s="1">
        <v>0</v>
      </c>
      <c r="N2055" s="1">
        <v>0</v>
      </c>
      <c r="O2055" s="1">
        <v>0</v>
      </c>
      <c r="P2055" s="1">
        <v>0</v>
      </c>
      <c r="Q2055" s="1">
        <v>1</v>
      </c>
      <c r="R2055" s="1">
        <v>0</v>
      </c>
      <c r="S2055" s="1">
        <v>0</v>
      </c>
      <c r="T2055" s="1">
        <v>0</v>
      </c>
      <c r="U2055" s="1">
        <v>0</v>
      </c>
      <c r="V2055" s="1">
        <v>0</v>
      </c>
    </row>
    <row r="2056" spans="1:22" x14ac:dyDescent="0.2">
      <c r="A2056" s="1" t="s">
        <v>1629</v>
      </c>
      <c r="B2056" s="1" t="s">
        <v>2063</v>
      </c>
      <c r="C2056" s="1">
        <v>0</v>
      </c>
      <c r="D2056" s="1">
        <v>0</v>
      </c>
      <c r="E2056" s="1">
        <v>0</v>
      </c>
      <c r="F2056" s="1">
        <v>0</v>
      </c>
      <c r="G2056" s="1">
        <v>0</v>
      </c>
      <c r="H2056" s="1">
        <v>0</v>
      </c>
      <c r="I2056" s="1">
        <v>0</v>
      </c>
      <c r="J2056" s="1">
        <v>0</v>
      </c>
      <c r="K2056" s="1">
        <v>2</v>
      </c>
      <c r="L2056" s="1">
        <v>0</v>
      </c>
      <c r="M2056" s="1">
        <v>0</v>
      </c>
      <c r="N2056" s="1">
        <v>0</v>
      </c>
      <c r="O2056" s="1">
        <v>1</v>
      </c>
      <c r="P2056" s="1">
        <v>0</v>
      </c>
      <c r="Q2056" s="1">
        <v>0</v>
      </c>
      <c r="R2056" s="1">
        <v>0</v>
      </c>
      <c r="S2056" s="1">
        <v>0</v>
      </c>
      <c r="T2056" s="1">
        <v>0</v>
      </c>
      <c r="U2056" s="1">
        <v>0</v>
      </c>
      <c r="V2056" s="1">
        <v>1</v>
      </c>
    </row>
    <row r="2057" spans="1:22" x14ac:dyDescent="0.2">
      <c r="A2057" s="1" t="s">
        <v>1629</v>
      </c>
      <c r="B2057" s="1" t="s">
        <v>2064</v>
      </c>
      <c r="C2057" s="1">
        <v>0</v>
      </c>
      <c r="D2057" s="1">
        <v>0</v>
      </c>
      <c r="E2057" s="1">
        <v>0</v>
      </c>
      <c r="F2057" s="1">
        <v>0</v>
      </c>
      <c r="G2057" s="1">
        <v>0</v>
      </c>
      <c r="H2057" s="1">
        <v>0</v>
      </c>
      <c r="I2057" s="1">
        <v>0</v>
      </c>
      <c r="J2057" s="1">
        <v>0</v>
      </c>
      <c r="K2057" s="1">
        <v>0</v>
      </c>
      <c r="L2057" s="1">
        <v>0</v>
      </c>
      <c r="M2057" s="1">
        <v>0</v>
      </c>
      <c r="N2057" s="1">
        <v>0</v>
      </c>
      <c r="O2057" s="1">
        <v>8</v>
      </c>
      <c r="P2057" s="1">
        <v>2</v>
      </c>
      <c r="Q2057" s="1">
        <v>1</v>
      </c>
      <c r="R2057" s="1">
        <v>0</v>
      </c>
      <c r="S2057" s="1">
        <v>2</v>
      </c>
      <c r="T2057" s="1">
        <v>0</v>
      </c>
      <c r="U2057" s="1">
        <v>0</v>
      </c>
      <c r="V2057" s="1">
        <v>0</v>
      </c>
    </row>
    <row r="2058" spans="1:22" x14ac:dyDescent="0.2">
      <c r="A2058" s="1" t="s">
        <v>1629</v>
      </c>
      <c r="B2058" s="1" t="s">
        <v>2065</v>
      </c>
      <c r="C2058" s="1">
        <v>0</v>
      </c>
      <c r="D2058" s="1">
        <v>0</v>
      </c>
      <c r="E2058" s="1">
        <v>0</v>
      </c>
      <c r="F2058" s="1">
        <v>0</v>
      </c>
      <c r="G2058" s="1">
        <v>41</v>
      </c>
      <c r="H2058" s="1">
        <v>38</v>
      </c>
      <c r="I2058" s="1">
        <v>124</v>
      </c>
      <c r="J2058" s="1">
        <v>104</v>
      </c>
      <c r="K2058" s="1">
        <v>160</v>
      </c>
      <c r="L2058" s="1">
        <v>133</v>
      </c>
      <c r="M2058" s="1">
        <v>122</v>
      </c>
      <c r="N2058" s="1">
        <v>115</v>
      </c>
      <c r="O2058" s="1">
        <v>84</v>
      </c>
      <c r="P2058" s="1">
        <v>64</v>
      </c>
      <c r="Q2058" s="1">
        <v>94</v>
      </c>
      <c r="R2058" s="1">
        <v>31</v>
      </c>
      <c r="S2058" s="1">
        <v>18</v>
      </c>
      <c r="T2058" s="1">
        <v>82</v>
      </c>
      <c r="U2058" s="1">
        <v>1</v>
      </c>
      <c r="V2058" s="1">
        <v>5</v>
      </c>
    </row>
    <row r="2059" spans="1:22" x14ac:dyDescent="0.2">
      <c r="A2059" s="1" t="s">
        <v>1629</v>
      </c>
      <c r="B2059" s="1" t="s">
        <v>2066</v>
      </c>
      <c r="C2059" s="1">
        <v>0</v>
      </c>
      <c r="D2059" s="1">
        <v>0</v>
      </c>
      <c r="E2059" s="1">
        <v>0</v>
      </c>
      <c r="F2059" s="1">
        <v>0</v>
      </c>
      <c r="G2059" s="1">
        <v>0</v>
      </c>
      <c r="H2059" s="1">
        <v>0</v>
      </c>
      <c r="I2059" s="1">
        <v>0</v>
      </c>
      <c r="J2059" s="1">
        <v>0</v>
      </c>
      <c r="K2059" s="1">
        <v>0</v>
      </c>
      <c r="L2059" s="1">
        <v>0</v>
      </c>
      <c r="M2059" s="1">
        <v>0</v>
      </c>
      <c r="N2059" s="1">
        <v>0</v>
      </c>
      <c r="O2059" s="1">
        <v>0</v>
      </c>
      <c r="P2059" s="1">
        <v>0</v>
      </c>
      <c r="Q2059" s="1">
        <v>0</v>
      </c>
      <c r="R2059" s="1">
        <v>16</v>
      </c>
      <c r="S2059" s="1">
        <v>0</v>
      </c>
      <c r="T2059" s="1">
        <v>0</v>
      </c>
      <c r="U2059" s="1">
        <v>233</v>
      </c>
      <c r="V2059" s="1">
        <v>40</v>
      </c>
    </row>
    <row r="2060" spans="1:22" x14ac:dyDescent="0.2">
      <c r="A2060" s="1" t="s">
        <v>1629</v>
      </c>
      <c r="B2060" s="1" t="s">
        <v>2067</v>
      </c>
      <c r="C2060" s="1">
        <v>0</v>
      </c>
      <c r="D2060" s="1">
        <v>0</v>
      </c>
      <c r="E2060" s="1">
        <v>0</v>
      </c>
      <c r="F2060" s="1">
        <v>0</v>
      </c>
      <c r="G2060" s="1">
        <v>0</v>
      </c>
      <c r="H2060" s="1">
        <v>0</v>
      </c>
      <c r="I2060" s="1">
        <v>0</v>
      </c>
      <c r="J2060" s="1">
        <v>0</v>
      </c>
      <c r="K2060" s="1">
        <v>0</v>
      </c>
      <c r="L2060" s="1">
        <v>0</v>
      </c>
      <c r="M2060" s="1">
        <v>0</v>
      </c>
      <c r="N2060" s="1">
        <v>0</v>
      </c>
      <c r="O2060" s="1">
        <v>0</v>
      </c>
      <c r="P2060" s="1">
        <v>0</v>
      </c>
      <c r="Q2060" s="1">
        <v>3</v>
      </c>
      <c r="R2060" s="1">
        <v>1</v>
      </c>
      <c r="S2060" s="1">
        <v>14</v>
      </c>
      <c r="T2060" s="1">
        <v>1</v>
      </c>
      <c r="U2060" s="1">
        <v>3</v>
      </c>
      <c r="V2060" s="1">
        <v>0</v>
      </c>
    </row>
    <row r="2061" spans="1:22" x14ac:dyDescent="0.2">
      <c r="A2061" s="1" t="s">
        <v>1629</v>
      </c>
      <c r="B2061" s="1" t="s">
        <v>2068</v>
      </c>
      <c r="C2061" s="1">
        <v>0</v>
      </c>
      <c r="D2061" s="1">
        <v>0</v>
      </c>
      <c r="E2061" s="1">
        <v>0</v>
      </c>
      <c r="F2061" s="1">
        <v>0</v>
      </c>
      <c r="G2061" s="1">
        <v>0</v>
      </c>
      <c r="H2061" s="1">
        <v>0</v>
      </c>
      <c r="I2061" s="1">
        <v>0</v>
      </c>
      <c r="J2061" s="1">
        <v>0</v>
      </c>
      <c r="K2061" s="1">
        <v>0</v>
      </c>
      <c r="L2061" s="1">
        <v>15</v>
      </c>
      <c r="M2061" s="1">
        <v>14</v>
      </c>
      <c r="N2061" s="1">
        <v>18</v>
      </c>
      <c r="O2061" s="1">
        <v>17</v>
      </c>
      <c r="P2061" s="1">
        <v>25</v>
      </c>
      <c r="Q2061" s="1">
        <v>50</v>
      </c>
      <c r="R2061" s="1">
        <v>77</v>
      </c>
      <c r="S2061" s="1">
        <v>75</v>
      </c>
      <c r="T2061" s="1">
        <v>72</v>
      </c>
      <c r="U2061" s="1">
        <v>120</v>
      </c>
      <c r="V2061" s="1">
        <v>44</v>
      </c>
    </row>
    <row r="2062" spans="1:22" x14ac:dyDescent="0.2">
      <c r="A2062" s="1" t="s">
        <v>1629</v>
      </c>
      <c r="B2062" s="1" t="s">
        <v>2069</v>
      </c>
      <c r="C2062" s="1">
        <v>1</v>
      </c>
      <c r="D2062" s="1">
        <v>4</v>
      </c>
      <c r="E2062" s="1">
        <v>3</v>
      </c>
      <c r="F2062" s="1">
        <v>8</v>
      </c>
      <c r="G2062" s="1">
        <v>3</v>
      </c>
      <c r="H2062" s="1">
        <v>1</v>
      </c>
      <c r="I2062" s="1">
        <v>1</v>
      </c>
      <c r="J2062" s="1">
        <v>4</v>
      </c>
      <c r="K2062" s="1">
        <v>11</v>
      </c>
      <c r="L2062" s="1">
        <v>1</v>
      </c>
      <c r="M2062" s="1">
        <v>6</v>
      </c>
      <c r="N2062" s="1">
        <v>31</v>
      </c>
      <c r="O2062" s="1">
        <v>15</v>
      </c>
      <c r="P2062" s="1">
        <v>14</v>
      </c>
      <c r="Q2062" s="1">
        <v>7</v>
      </c>
      <c r="R2062" s="1">
        <v>4</v>
      </c>
      <c r="S2062" s="1">
        <v>5</v>
      </c>
      <c r="T2062" s="1">
        <v>6</v>
      </c>
      <c r="U2062" s="1">
        <v>7</v>
      </c>
      <c r="V2062" s="1">
        <v>2</v>
      </c>
    </row>
    <row r="2063" spans="1:22" x14ac:dyDescent="0.2">
      <c r="A2063" s="1" t="s">
        <v>1629</v>
      </c>
      <c r="B2063" s="1" t="s">
        <v>2070</v>
      </c>
      <c r="C2063" s="1">
        <v>0</v>
      </c>
      <c r="D2063" s="1">
        <v>0</v>
      </c>
      <c r="E2063" s="1">
        <v>0</v>
      </c>
      <c r="F2063" s="1">
        <v>0</v>
      </c>
      <c r="G2063" s="1">
        <v>0</v>
      </c>
      <c r="H2063" s="1">
        <v>0</v>
      </c>
      <c r="I2063" s="1">
        <v>0</v>
      </c>
      <c r="J2063" s="1">
        <v>0</v>
      </c>
      <c r="K2063" s="1">
        <v>0</v>
      </c>
      <c r="L2063" s="1">
        <v>0</v>
      </c>
      <c r="M2063" s="1">
        <v>0</v>
      </c>
      <c r="N2063" s="1">
        <v>0</v>
      </c>
      <c r="O2063" s="1">
        <v>0</v>
      </c>
      <c r="P2063" s="1">
        <v>0</v>
      </c>
      <c r="Q2063" s="1">
        <v>1</v>
      </c>
      <c r="R2063" s="1">
        <v>1</v>
      </c>
      <c r="S2063" s="1">
        <v>1</v>
      </c>
      <c r="T2063" s="1">
        <v>1</v>
      </c>
      <c r="U2063" s="1">
        <v>2</v>
      </c>
      <c r="V2063" s="1">
        <v>4</v>
      </c>
    </row>
    <row r="2064" spans="1:22" x14ac:dyDescent="0.2">
      <c r="A2064" s="1" t="s">
        <v>1629</v>
      </c>
      <c r="B2064" s="1" t="s">
        <v>2071</v>
      </c>
      <c r="C2064" s="1">
        <v>93</v>
      </c>
      <c r="D2064" s="1">
        <v>99</v>
      </c>
      <c r="E2064" s="1">
        <v>138</v>
      </c>
      <c r="F2064" s="1">
        <v>92</v>
      </c>
      <c r="G2064" s="1">
        <v>105</v>
      </c>
      <c r="H2064" s="1">
        <v>73</v>
      </c>
      <c r="I2064" s="1">
        <v>45</v>
      </c>
      <c r="J2064" s="1">
        <v>89</v>
      </c>
      <c r="K2064" s="1">
        <v>39</v>
      </c>
      <c r="L2064" s="1">
        <v>34</v>
      </c>
      <c r="M2064" s="1">
        <v>22</v>
      </c>
      <c r="N2064" s="1">
        <v>30</v>
      </c>
      <c r="O2064" s="1">
        <v>32</v>
      </c>
      <c r="P2064" s="1">
        <v>61</v>
      </c>
      <c r="Q2064" s="1">
        <v>34</v>
      </c>
      <c r="R2064" s="1">
        <v>37</v>
      </c>
      <c r="S2064" s="1">
        <v>14</v>
      </c>
      <c r="T2064" s="1">
        <v>7</v>
      </c>
      <c r="U2064" s="1">
        <v>3</v>
      </c>
      <c r="V2064" s="1">
        <v>4</v>
      </c>
    </row>
    <row r="2065" spans="1:22" x14ac:dyDescent="0.2">
      <c r="A2065" s="1" t="s">
        <v>1629</v>
      </c>
      <c r="B2065" s="1" t="s">
        <v>2072</v>
      </c>
      <c r="C2065" s="1">
        <v>0</v>
      </c>
      <c r="D2065" s="1">
        <v>0</v>
      </c>
      <c r="E2065" s="1">
        <v>0</v>
      </c>
      <c r="F2065" s="1">
        <v>0</v>
      </c>
      <c r="G2065" s="1">
        <v>0</v>
      </c>
      <c r="H2065" s="1">
        <v>0</v>
      </c>
      <c r="I2065" s="1">
        <v>0</v>
      </c>
      <c r="J2065" s="1">
        <v>0</v>
      </c>
      <c r="K2065" s="1">
        <v>0</v>
      </c>
      <c r="L2065" s="1">
        <v>1</v>
      </c>
      <c r="M2065" s="1">
        <v>0</v>
      </c>
      <c r="N2065" s="1">
        <v>0</v>
      </c>
      <c r="O2065" s="1">
        <v>0</v>
      </c>
      <c r="P2065" s="1">
        <v>0</v>
      </c>
      <c r="Q2065" s="1">
        <v>1</v>
      </c>
      <c r="R2065" s="1">
        <v>3</v>
      </c>
      <c r="S2065" s="1">
        <v>1</v>
      </c>
      <c r="T2065" s="1">
        <v>1</v>
      </c>
      <c r="U2065" s="1">
        <v>1</v>
      </c>
      <c r="V2065" s="1">
        <v>3</v>
      </c>
    </row>
    <row r="2066" spans="1:22" x14ac:dyDescent="0.2">
      <c r="A2066" s="1" t="s">
        <v>1629</v>
      </c>
      <c r="B2066" s="1" t="s">
        <v>2073</v>
      </c>
      <c r="C2066" s="1">
        <v>0</v>
      </c>
      <c r="D2066" s="1">
        <v>0</v>
      </c>
      <c r="E2066" s="1">
        <v>0</v>
      </c>
      <c r="F2066" s="1">
        <v>0</v>
      </c>
      <c r="G2066" s="1">
        <v>0</v>
      </c>
      <c r="H2066" s="1">
        <v>0</v>
      </c>
      <c r="I2066" s="1">
        <v>0</v>
      </c>
      <c r="J2066" s="1">
        <v>0</v>
      </c>
      <c r="K2066" s="1">
        <v>0</v>
      </c>
      <c r="L2066" s="1">
        <v>1</v>
      </c>
      <c r="M2066" s="1">
        <v>0</v>
      </c>
      <c r="N2066" s="1">
        <v>0</v>
      </c>
      <c r="V2066" s="1">
        <v>0</v>
      </c>
    </row>
    <row r="2067" spans="1:22" x14ac:dyDescent="0.2">
      <c r="A2067" s="1" t="s">
        <v>1629</v>
      </c>
      <c r="B2067" s="1" t="s">
        <v>2074</v>
      </c>
      <c r="C2067" s="1">
        <v>0</v>
      </c>
      <c r="D2067" s="1">
        <v>0</v>
      </c>
      <c r="E2067" s="1">
        <v>0</v>
      </c>
      <c r="F2067" s="1">
        <v>0</v>
      </c>
      <c r="G2067" s="1">
        <v>0</v>
      </c>
      <c r="H2067" s="1">
        <v>0</v>
      </c>
      <c r="I2067" s="1">
        <v>0</v>
      </c>
      <c r="J2067" s="1">
        <v>0</v>
      </c>
      <c r="K2067" s="1">
        <v>0</v>
      </c>
      <c r="L2067" s="1">
        <v>0</v>
      </c>
      <c r="M2067" s="1">
        <v>0</v>
      </c>
      <c r="N2067" s="1">
        <v>0</v>
      </c>
      <c r="O2067" s="1">
        <v>0</v>
      </c>
      <c r="P2067" s="1">
        <v>0</v>
      </c>
      <c r="Q2067" s="1">
        <v>33</v>
      </c>
      <c r="R2067" s="1">
        <v>47</v>
      </c>
      <c r="S2067" s="1">
        <v>38</v>
      </c>
      <c r="T2067" s="1">
        <v>37</v>
      </c>
      <c r="U2067" s="1">
        <v>28</v>
      </c>
      <c r="V2067" s="1">
        <v>27</v>
      </c>
    </row>
    <row r="2068" spans="1:22" x14ac:dyDescent="0.2">
      <c r="A2068" s="1" t="s">
        <v>1629</v>
      </c>
      <c r="B2068" s="1" t="s">
        <v>2075</v>
      </c>
      <c r="C2068" s="1">
        <v>96</v>
      </c>
      <c r="D2068" s="1">
        <v>339</v>
      </c>
      <c r="E2068" s="1">
        <v>283</v>
      </c>
      <c r="F2068" s="1">
        <v>292</v>
      </c>
      <c r="G2068" s="1">
        <v>385</v>
      </c>
      <c r="H2068" s="1">
        <v>401</v>
      </c>
      <c r="I2068" s="1">
        <v>649</v>
      </c>
      <c r="J2068" s="1">
        <v>1059</v>
      </c>
      <c r="K2068" s="1">
        <v>1225</v>
      </c>
      <c r="L2068" s="1">
        <v>1233</v>
      </c>
      <c r="M2068" s="1">
        <v>794</v>
      </c>
      <c r="N2068" s="1">
        <v>460</v>
      </c>
      <c r="O2068" s="1">
        <v>316</v>
      </c>
      <c r="P2068" s="1">
        <v>210</v>
      </c>
      <c r="Q2068" s="1">
        <v>163</v>
      </c>
      <c r="R2068" s="1">
        <v>63</v>
      </c>
      <c r="S2068" s="1">
        <v>42</v>
      </c>
      <c r="T2068" s="1">
        <v>28</v>
      </c>
      <c r="U2068" s="1">
        <v>16</v>
      </c>
      <c r="V2068" s="1">
        <v>21</v>
      </c>
    </row>
    <row r="2069" spans="1:22" x14ac:dyDescent="0.2">
      <c r="A2069" s="1" t="s">
        <v>1629</v>
      </c>
      <c r="B2069" s="1" t="s">
        <v>2076</v>
      </c>
      <c r="C2069" s="1">
        <v>0</v>
      </c>
      <c r="D2069" s="1">
        <v>0</v>
      </c>
      <c r="E2069" s="1">
        <v>0</v>
      </c>
      <c r="F2069" s="1">
        <v>0</v>
      </c>
      <c r="G2069" s="1">
        <v>0</v>
      </c>
      <c r="H2069" s="1">
        <v>2</v>
      </c>
      <c r="I2069" s="1">
        <v>2</v>
      </c>
      <c r="J2069" s="1">
        <v>0</v>
      </c>
      <c r="K2069" s="1">
        <v>2</v>
      </c>
      <c r="L2069" s="1">
        <v>0</v>
      </c>
      <c r="M2069" s="1">
        <v>1</v>
      </c>
      <c r="N2069" s="1">
        <v>4</v>
      </c>
      <c r="O2069" s="1">
        <v>1</v>
      </c>
      <c r="P2069" s="1">
        <v>0</v>
      </c>
      <c r="Q2069" s="1">
        <v>1</v>
      </c>
      <c r="R2069" s="1">
        <v>0</v>
      </c>
      <c r="S2069" s="1">
        <v>0</v>
      </c>
      <c r="T2069" s="1">
        <v>0</v>
      </c>
      <c r="U2069" s="1">
        <v>0</v>
      </c>
      <c r="V2069" s="1">
        <v>2</v>
      </c>
    </row>
    <row r="2070" spans="1:22" x14ac:dyDescent="0.2">
      <c r="A2070" s="1" t="s">
        <v>1629</v>
      </c>
      <c r="B2070" s="1" t="s">
        <v>2077</v>
      </c>
      <c r="C2070" s="1">
        <v>0</v>
      </c>
      <c r="D2070" s="1">
        <v>0</v>
      </c>
      <c r="E2070" s="1">
        <v>0</v>
      </c>
      <c r="F2070" s="1">
        <v>0</v>
      </c>
      <c r="G2070" s="1">
        <v>0</v>
      </c>
      <c r="H2070" s="1">
        <v>0</v>
      </c>
      <c r="I2070" s="1">
        <v>0</v>
      </c>
      <c r="J2070" s="1">
        <v>0</v>
      </c>
      <c r="K2070" s="1">
        <v>1</v>
      </c>
      <c r="L2070" s="1">
        <v>0</v>
      </c>
      <c r="M2070" s="1">
        <v>2</v>
      </c>
      <c r="N2070" s="1">
        <v>0</v>
      </c>
      <c r="V2070" s="1">
        <v>2</v>
      </c>
    </row>
    <row r="2071" spans="1:22" x14ac:dyDescent="0.2">
      <c r="A2071" s="1" t="s">
        <v>1629</v>
      </c>
      <c r="B2071" s="1" t="s">
        <v>2078</v>
      </c>
      <c r="C2071" s="1">
        <v>4</v>
      </c>
      <c r="D2071" s="1">
        <v>6</v>
      </c>
      <c r="E2071" s="1">
        <v>26</v>
      </c>
      <c r="F2071" s="1">
        <v>17</v>
      </c>
      <c r="G2071" s="1">
        <v>17</v>
      </c>
      <c r="H2071" s="1">
        <v>4</v>
      </c>
      <c r="I2071" s="1">
        <v>53</v>
      </c>
      <c r="J2071" s="1">
        <v>127</v>
      </c>
      <c r="K2071" s="1">
        <v>63</v>
      </c>
      <c r="L2071" s="1">
        <v>64</v>
      </c>
      <c r="M2071" s="1">
        <v>57</v>
      </c>
      <c r="N2071" s="1">
        <v>57</v>
      </c>
      <c r="O2071" s="1">
        <v>70</v>
      </c>
      <c r="P2071" s="1">
        <v>31</v>
      </c>
      <c r="Q2071" s="1">
        <v>59</v>
      </c>
      <c r="R2071" s="1">
        <v>78</v>
      </c>
      <c r="S2071" s="1">
        <v>77</v>
      </c>
      <c r="T2071" s="1">
        <v>90</v>
      </c>
      <c r="U2071" s="1">
        <v>250</v>
      </c>
      <c r="V2071" s="1">
        <v>286</v>
      </c>
    </row>
    <row r="2072" spans="1:22" x14ac:dyDescent="0.2">
      <c r="A2072" s="1" t="s">
        <v>1629</v>
      </c>
      <c r="B2072" s="1" t="s">
        <v>2079</v>
      </c>
      <c r="C2072" s="1">
        <v>26</v>
      </c>
      <c r="D2072" s="1">
        <v>36</v>
      </c>
      <c r="E2072" s="1">
        <v>25</v>
      </c>
      <c r="F2072" s="1">
        <v>70</v>
      </c>
      <c r="G2072" s="1">
        <v>58</v>
      </c>
      <c r="H2072" s="1">
        <v>47</v>
      </c>
      <c r="I2072" s="1">
        <v>35</v>
      </c>
      <c r="J2072" s="1">
        <v>25</v>
      </c>
      <c r="K2072" s="1">
        <v>18</v>
      </c>
      <c r="L2072" s="1">
        <v>27</v>
      </c>
      <c r="M2072" s="1">
        <v>100</v>
      </c>
      <c r="N2072" s="1">
        <v>49</v>
      </c>
      <c r="O2072" s="1">
        <v>72</v>
      </c>
      <c r="P2072" s="1">
        <v>24</v>
      </c>
      <c r="Q2072" s="1">
        <v>29</v>
      </c>
      <c r="R2072" s="1">
        <v>11</v>
      </c>
      <c r="S2072" s="1">
        <v>14</v>
      </c>
      <c r="T2072" s="1">
        <v>10</v>
      </c>
      <c r="U2072" s="1">
        <v>11</v>
      </c>
      <c r="V2072" s="1">
        <v>19</v>
      </c>
    </row>
    <row r="2073" spans="1:22" x14ac:dyDescent="0.2">
      <c r="A2073" s="1" t="s">
        <v>1629</v>
      </c>
      <c r="B2073" s="1" t="s">
        <v>2080</v>
      </c>
      <c r="C2073" s="1">
        <v>0</v>
      </c>
      <c r="D2073" s="1">
        <v>0</v>
      </c>
      <c r="E2073" s="1">
        <v>0</v>
      </c>
      <c r="F2073" s="1">
        <v>0</v>
      </c>
      <c r="G2073" s="1">
        <v>0</v>
      </c>
      <c r="H2073" s="1">
        <v>0</v>
      </c>
      <c r="I2073" s="1">
        <v>2</v>
      </c>
      <c r="J2073" s="1">
        <v>2</v>
      </c>
      <c r="K2073" s="1">
        <v>0</v>
      </c>
      <c r="L2073" s="1">
        <v>5</v>
      </c>
      <c r="M2073" s="1">
        <v>2</v>
      </c>
      <c r="N2073" s="1">
        <v>35</v>
      </c>
      <c r="O2073" s="1">
        <v>2</v>
      </c>
      <c r="P2073" s="1">
        <v>6</v>
      </c>
      <c r="Q2073" s="1">
        <v>3</v>
      </c>
      <c r="R2073" s="1">
        <v>8</v>
      </c>
      <c r="S2073" s="1">
        <v>26</v>
      </c>
      <c r="T2073" s="1">
        <v>14</v>
      </c>
      <c r="U2073" s="1">
        <v>28</v>
      </c>
      <c r="V2073" s="1">
        <v>0</v>
      </c>
    </row>
    <row r="2074" spans="1:22" x14ac:dyDescent="0.2">
      <c r="A2074" s="1" t="s">
        <v>1629</v>
      </c>
      <c r="B2074" s="1" t="s">
        <v>2081</v>
      </c>
      <c r="C2074" s="1">
        <v>0</v>
      </c>
      <c r="D2074" s="1">
        <v>0</v>
      </c>
      <c r="E2074" s="1">
        <v>0</v>
      </c>
      <c r="F2074" s="1">
        <v>0</v>
      </c>
      <c r="G2074" s="1">
        <v>0</v>
      </c>
      <c r="H2074" s="1">
        <v>2</v>
      </c>
      <c r="I2074" s="1">
        <v>1</v>
      </c>
      <c r="J2074" s="1">
        <v>0</v>
      </c>
      <c r="K2074" s="1">
        <v>7</v>
      </c>
      <c r="L2074" s="1">
        <v>5</v>
      </c>
      <c r="M2074" s="1">
        <v>5</v>
      </c>
      <c r="N2074" s="1">
        <v>1</v>
      </c>
      <c r="O2074" s="1">
        <v>12</v>
      </c>
      <c r="P2074" s="1">
        <v>1</v>
      </c>
      <c r="Q2074" s="1">
        <v>9</v>
      </c>
      <c r="R2074" s="1">
        <v>9</v>
      </c>
      <c r="S2074" s="1">
        <v>29</v>
      </c>
      <c r="T2074" s="1">
        <v>23</v>
      </c>
      <c r="U2074" s="1">
        <v>25</v>
      </c>
      <c r="V2074" s="1">
        <v>42</v>
      </c>
    </row>
    <row r="2075" spans="1:22" x14ac:dyDescent="0.2">
      <c r="A2075" s="1" t="s">
        <v>1629</v>
      </c>
      <c r="B2075" s="1" t="s">
        <v>2082</v>
      </c>
      <c r="C2075" s="1">
        <v>7</v>
      </c>
      <c r="D2075" s="1">
        <v>0</v>
      </c>
      <c r="E2075" s="1">
        <v>0</v>
      </c>
      <c r="F2075" s="1">
        <v>0</v>
      </c>
      <c r="G2075" s="1">
        <v>0</v>
      </c>
      <c r="H2075" s="1">
        <v>0</v>
      </c>
      <c r="I2075" s="1">
        <v>0</v>
      </c>
      <c r="J2075" s="1">
        <v>0</v>
      </c>
      <c r="K2075" s="1">
        <v>0</v>
      </c>
      <c r="L2075" s="1">
        <v>0</v>
      </c>
      <c r="M2075" s="1">
        <v>0</v>
      </c>
      <c r="N2075" s="1">
        <v>0</v>
      </c>
      <c r="O2075" s="1">
        <v>0</v>
      </c>
      <c r="P2075" s="1">
        <v>0</v>
      </c>
      <c r="Q2075" s="1">
        <v>0</v>
      </c>
      <c r="R2075" s="1">
        <v>0</v>
      </c>
      <c r="S2075" s="1">
        <v>0</v>
      </c>
      <c r="T2075" s="1">
        <v>2</v>
      </c>
      <c r="U2075" s="1">
        <v>1</v>
      </c>
      <c r="V2075" s="1">
        <v>0</v>
      </c>
    </row>
    <row r="2076" spans="1:22" x14ac:dyDescent="0.2">
      <c r="A2076" s="1" t="s">
        <v>1629</v>
      </c>
      <c r="B2076" s="1" t="s">
        <v>2083</v>
      </c>
      <c r="C2076" s="1">
        <v>0</v>
      </c>
      <c r="D2076" s="1">
        <v>0</v>
      </c>
      <c r="E2076" s="1">
        <v>0</v>
      </c>
      <c r="F2076" s="1">
        <v>0</v>
      </c>
      <c r="G2076" s="1">
        <v>0</v>
      </c>
      <c r="H2076" s="1">
        <v>0</v>
      </c>
      <c r="I2076" s="1">
        <v>0</v>
      </c>
      <c r="J2076" s="1">
        <v>0</v>
      </c>
      <c r="K2076" s="1">
        <v>0</v>
      </c>
      <c r="L2076" s="1">
        <v>0</v>
      </c>
      <c r="M2076" s="1">
        <v>0</v>
      </c>
      <c r="N2076" s="1">
        <v>0</v>
      </c>
      <c r="O2076" s="1">
        <v>0</v>
      </c>
      <c r="P2076" s="1">
        <v>0</v>
      </c>
      <c r="Q2076" s="1">
        <v>0</v>
      </c>
      <c r="R2076" s="1">
        <v>0</v>
      </c>
      <c r="S2076" s="1">
        <v>0</v>
      </c>
      <c r="T2076" s="1">
        <v>0</v>
      </c>
      <c r="U2076" s="1">
        <v>1</v>
      </c>
      <c r="V2076" s="1">
        <v>0</v>
      </c>
    </row>
    <row r="2077" spans="1:22" x14ac:dyDescent="0.2">
      <c r="A2077" s="1" t="s">
        <v>1629</v>
      </c>
      <c r="B2077" s="1" t="s">
        <v>2084</v>
      </c>
      <c r="C2077" s="1">
        <v>0</v>
      </c>
      <c r="D2077" s="1">
        <v>0</v>
      </c>
      <c r="E2077" s="1">
        <v>0</v>
      </c>
      <c r="F2077" s="1">
        <v>0</v>
      </c>
      <c r="G2077" s="1">
        <v>0</v>
      </c>
      <c r="H2077" s="1">
        <v>0</v>
      </c>
      <c r="I2077" s="1">
        <v>17</v>
      </c>
      <c r="J2077" s="1">
        <v>27</v>
      </c>
      <c r="K2077" s="1">
        <v>1</v>
      </c>
      <c r="L2077" s="1">
        <v>0</v>
      </c>
      <c r="M2077" s="1">
        <v>0</v>
      </c>
      <c r="N2077" s="1">
        <v>0</v>
      </c>
      <c r="O2077" s="1">
        <v>0</v>
      </c>
      <c r="P2077" s="1">
        <v>0</v>
      </c>
      <c r="Q2077" s="1">
        <v>1</v>
      </c>
      <c r="R2077" s="1">
        <v>0</v>
      </c>
      <c r="S2077" s="1">
        <v>0</v>
      </c>
      <c r="T2077" s="1">
        <v>0</v>
      </c>
      <c r="U2077" s="1">
        <v>0</v>
      </c>
      <c r="V2077" s="1">
        <v>0</v>
      </c>
    </row>
    <row r="2078" spans="1:22" x14ac:dyDescent="0.2">
      <c r="A2078" s="1" t="s">
        <v>1629</v>
      </c>
      <c r="B2078" s="1" t="s">
        <v>2085</v>
      </c>
      <c r="C2078" s="1">
        <v>0</v>
      </c>
      <c r="D2078" s="1">
        <v>0</v>
      </c>
      <c r="E2078" s="1">
        <v>0</v>
      </c>
      <c r="F2078" s="1">
        <v>0</v>
      </c>
      <c r="G2078" s="1">
        <v>0</v>
      </c>
      <c r="H2078" s="1">
        <v>0</v>
      </c>
      <c r="I2078" s="1">
        <v>1</v>
      </c>
      <c r="J2078" s="1">
        <v>0</v>
      </c>
      <c r="K2078" s="1">
        <v>3</v>
      </c>
      <c r="L2078" s="1">
        <v>2</v>
      </c>
      <c r="M2078" s="1">
        <v>0</v>
      </c>
      <c r="N2078" s="1">
        <v>8</v>
      </c>
      <c r="V2078" s="1">
        <v>1</v>
      </c>
    </row>
    <row r="2079" spans="1:22" x14ac:dyDescent="0.2">
      <c r="A2079" s="1" t="s">
        <v>1629</v>
      </c>
      <c r="B2079" s="1" t="s">
        <v>2086</v>
      </c>
      <c r="C2079" s="1">
        <v>0</v>
      </c>
      <c r="D2079" s="1">
        <v>0</v>
      </c>
      <c r="E2079" s="1">
        <v>0</v>
      </c>
      <c r="F2079" s="1">
        <v>0</v>
      </c>
      <c r="G2079" s="1">
        <v>0</v>
      </c>
      <c r="H2079" s="1">
        <v>0</v>
      </c>
      <c r="I2079" s="1">
        <v>0</v>
      </c>
      <c r="J2079" s="1">
        <v>0</v>
      </c>
      <c r="K2079" s="1">
        <v>0</v>
      </c>
      <c r="L2079" s="1">
        <v>0</v>
      </c>
      <c r="M2079" s="1">
        <v>0</v>
      </c>
      <c r="N2079" s="1">
        <v>0</v>
      </c>
      <c r="O2079" s="1">
        <v>2</v>
      </c>
      <c r="P2079" s="1">
        <v>0</v>
      </c>
      <c r="Q2079" s="1">
        <v>1</v>
      </c>
      <c r="R2079" s="1">
        <v>0</v>
      </c>
      <c r="S2079" s="1">
        <v>0</v>
      </c>
      <c r="T2079" s="1">
        <v>6</v>
      </c>
      <c r="U2079" s="1">
        <v>32</v>
      </c>
      <c r="V2079" s="1">
        <v>12</v>
      </c>
    </row>
    <row r="2080" spans="1:22" x14ac:dyDescent="0.2">
      <c r="A2080" s="1" t="s">
        <v>1629</v>
      </c>
      <c r="B2080" s="1" t="s">
        <v>2087</v>
      </c>
      <c r="C2080" s="1">
        <v>7</v>
      </c>
      <c r="D2080" s="1">
        <v>0</v>
      </c>
      <c r="E2080" s="1">
        <v>6</v>
      </c>
      <c r="F2080" s="1">
        <v>6</v>
      </c>
      <c r="G2080" s="1">
        <v>0</v>
      </c>
      <c r="H2080" s="1">
        <v>3</v>
      </c>
      <c r="I2080" s="1">
        <v>4</v>
      </c>
      <c r="J2080" s="1">
        <v>3</v>
      </c>
      <c r="K2080" s="1">
        <v>13</v>
      </c>
      <c r="L2080" s="1">
        <v>15</v>
      </c>
      <c r="M2080" s="1">
        <v>11</v>
      </c>
      <c r="N2080" s="1">
        <v>15</v>
      </c>
      <c r="O2080" s="1">
        <v>28</v>
      </c>
      <c r="P2080" s="1">
        <v>6</v>
      </c>
      <c r="Q2080" s="1">
        <v>1</v>
      </c>
      <c r="R2080" s="1">
        <v>6</v>
      </c>
      <c r="S2080" s="1">
        <v>0</v>
      </c>
      <c r="T2080" s="1">
        <v>0</v>
      </c>
      <c r="U2080" s="1">
        <v>0</v>
      </c>
      <c r="V2080" s="1">
        <v>10</v>
      </c>
    </row>
    <row r="2081" spans="1:22" x14ac:dyDescent="0.2">
      <c r="A2081" s="1" t="s">
        <v>1629</v>
      </c>
      <c r="B2081" s="1" t="s">
        <v>2088</v>
      </c>
      <c r="C2081" s="1">
        <v>27</v>
      </c>
      <c r="D2081" s="1">
        <v>23</v>
      </c>
      <c r="E2081" s="1">
        <v>37</v>
      </c>
      <c r="F2081" s="1">
        <v>11</v>
      </c>
      <c r="G2081" s="1">
        <v>28</v>
      </c>
      <c r="H2081" s="1">
        <v>18</v>
      </c>
      <c r="I2081" s="1">
        <v>20</v>
      </c>
      <c r="J2081" s="1">
        <v>20</v>
      </c>
      <c r="K2081" s="1">
        <v>13</v>
      </c>
      <c r="L2081" s="1">
        <v>17</v>
      </c>
      <c r="M2081" s="1">
        <v>14</v>
      </c>
      <c r="N2081" s="1">
        <v>3</v>
      </c>
      <c r="O2081" s="1">
        <v>6</v>
      </c>
      <c r="P2081" s="1">
        <v>7</v>
      </c>
      <c r="Q2081" s="1">
        <v>12</v>
      </c>
      <c r="R2081" s="1">
        <v>12</v>
      </c>
      <c r="S2081" s="1">
        <v>19</v>
      </c>
      <c r="T2081" s="1">
        <v>11</v>
      </c>
      <c r="U2081" s="1">
        <v>23</v>
      </c>
      <c r="V2081" s="1">
        <v>14</v>
      </c>
    </row>
    <row r="2082" spans="1:22" x14ac:dyDescent="0.2">
      <c r="A2082" s="1" t="s">
        <v>1629</v>
      </c>
      <c r="B2082" s="1" t="s">
        <v>2089</v>
      </c>
      <c r="C2082" s="1">
        <v>6</v>
      </c>
      <c r="D2082" s="1">
        <v>2</v>
      </c>
      <c r="E2082" s="1">
        <v>13</v>
      </c>
      <c r="F2082" s="1">
        <v>10</v>
      </c>
      <c r="G2082" s="1">
        <v>12</v>
      </c>
      <c r="H2082" s="1">
        <v>3</v>
      </c>
      <c r="I2082" s="1">
        <v>1</v>
      </c>
      <c r="J2082" s="1">
        <v>2</v>
      </c>
      <c r="K2082" s="1">
        <v>1</v>
      </c>
      <c r="L2082" s="1">
        <v>3</v>
      </c>
      <c r="M2082" s="1">
        <v>0</v>
      </c>
      <c r="N2082" s="1">
        <v>0</v>
      </c>
      <c r="V2082" s="1">
        <v>1</v>
      </c>
    </row>
    <row r="2083" spans="1:22" x14ac:dyDescent="0.2">
      <c r="A2083" s="1" t="s">
        <v>1629</v>
      </c>
      <c r="B2083" s="1" t="s">
        <v>2090</v>
      </c>
      <c r="C2083" s="1">
        <v>0</v>
      </c>
      <c r="D2083" s="1">
        <v>0</v>
      </c>
      <c r="E2083" s="1">
        <v>0</v>
      </c>
      <c r="F2083" s="1">
        <v>0</v>
      </c>
      <c r="G2083" s="1">
        <v>0</v>
      </c>
      <c r="H2083" s="1">
        <v>0</v>
      </c>
      <c r="I2083" s="1">
        <v>0</v>
      </c>
      <c r="J2083" s="1">
        <v>0</v>
      </c>
      <c r="K2083" s="1">
        <v>2</v>
      </c>
      <c r="L2083" s="1">
        <v>0</v>
      </c>
      <c r="M2083" s="1">
        <v>0</v>
      </c>
      <c r="N2083" s="1">
        <v>0</v>
      </c>
      <c r="O2083" s="1">
        <v>0</v>
      </c>
      <c r="P2083" s="1">
        <v>3</v>
      </c>
      <c r="Q2083" s="1">
        <v>1</v>
      </c>
      <c r="R2083" s="1">
        <v>1</v>
      </c>
      <c r="S2083" s="1">
        <v>1</v>
      </c>
      <c r="T2083" s="1">
        <v>0</v>
      </c>
      <c r="U2083" s="1">
        <v>0</v>
      </c>
      <c r="V2083" s="1">
        <v>0</v>
      </c>
    </row>
    <row r="2084" spans="1:22" x14ac:dyDescent="0.2">
      <c r="A2084" s="1" t="s">
        <v>1629</v>
      </c>
      <c r="B2084" s="1" t="s">
        <v>2091</v>
      </c>
      <c r="C2084" s="1">
        <v>7</v>
      </c>
      <c r="D2084" s="1">
        <v>11</v>
      </c>
      <c r="E2084" s="1">
        <v>15</v>
      </c>
      <c r="F2084" s="1">
        <v>30</v>
      </c>
      <c r="G2084" s="1">
        <v>62</v>
      </c>
      <c r="H2084" s="1">
        <v>105</v>
      </c>
      <c r="I2084" s="1">
        <v>103</v>
      </c>
      <c r="J2084" s="1">
        <v>108</v>
      </c>
      <c r="K2084" s="1">
        <v>99</v>
      </c>
      <c r="L2084" s="1">
        <v>91</v>
      </c>
      <c r="M2084" s="1">
        <v>97</v>
      </c>
      <c r="N2084" s="1">
        <v>42</v>
      </c>
      <c r="O2084" s="1">
        <v>50</v>
      </c>
      <c r="P2084" s="1">
        <v>25</v>
      </c>
      <c r="Q2084" s="1">
        <v>23</v>
      </c>
      <c r="R2084" s="1">
        <v>14</v>
      </c>
      <c r="S2084" s="1">
        <v>15</v>
      </c>
      <c r="T2084" s="1">
        <v>12</v>
      </c>
      <c r="U2084" s="1">
        <v>12</v>
      </c>
      <c r="V2084" s="1">
        <v>14</v>
      </c>
    </row>
    <row r="2085" spans="1:22" x14ac:dyDescent="0.2">
      <c r="A2085" s="1" t="s">
        <v>1629</v>
      </c>
      <c r="B2085" s="1" t="s">
        <v>2092</v>
      </c>
      <c r="C2085" s="1">
        <v>76</v>
      </c>
      <c r="D2085" s="1">
        <v>93</v>
      </c>
      <c r="E2085" s="1">
        <v>52</v>
      </c>
      <c r="F2085" s="1">
        <v>62</v>
      </c>
      <c r="G2085" s="1">
        <v>46</v>
      </c>
      <c r="H2085" s="1">
        <v>51</v>
      </c>
      <c r="I2085" s="1">
        <v>51</v>
      </c>
      <c r="J2085" s="1">
        <v>66</v>
      </c>
      <c r="K2085" s="1">
        <v>55</v>
      </c>
      <c r="L2085" s="1">
        <v>43</v>
      </c>
      <c r="M2085" s="1">
        <v>30</v>
      </c>
      <c r="N2085" s="1">
        <v>32</v>
      </c>
      <c r="O2085" s="1">
        <v>7</v>
      </c>
      <c r="P2085" s="1">
        <v>20</v>
      </c>
      <c r="Q2085" s="1">
        <v>22</v>
      </c>
      <c r="R2085" s="1">
        <v>19</v>
      </c>
      <c r="S2085" s="1">
        <v>7</v>
      </c>
      <c r="T2085" s="1">
        <v>12</v>
      </c>
      <c r="U2085" s="1">
        <v>8</v>
      </c>
      <c r="V2085" s="1">
        <v>28</v>
      </c>
    </row>
    <row r="2086" spans="1:22" x14ac:dyDescent="0.2">
      <c r="A2086" s="1" t="s">
        <v>1629</v>
      </c>
      <c r="B2086" s="1" t="s">
        <v>2093</v>
      </c>
      <c r="C2086" s="1">
        <v>0</v>
      </c>
      <c r="D2086" s="1">
        <v>0</v>
      </c>
      <c r="E2086" s="1">
        <v>0</v>
      </c>
      <c r="F2086" s="1">
        <v>0</v>
      </c>
      <c r="G2086" s="1">
        <v>0</v>
      </c>
      <c r="H2086" s="1">
        <v>0</v>
      </c>
      <c r="I2086" s="1">
        <v>0</v>
      </c>
      <c r="J2086" s="1">
        <v>0</v>
      </c>
      <c r="K2086" s="1">
        <v>0</v>
      </c>
      <c r="L2086" s="1">
        <v>0</v>
      </c>
      <c r="M2086" s="1">
        <v>0</v>
      </c>
      <c r="N2086" s="1">
        <v>0</v>
      </c>
      <c r="O2086" s="1">
        <v>17</v>
      </c>
      <c r="P2086" s="1">
        <v>0</v>
      </c>
      <c r="Q2086" s="1">
        <v>0</v>
      </c>
      <c r="R2086" s="1">
        <v>0</v>
      </c>
      <c r="S2086" s="1">
        <v>0</v>
      </c>
      <c r="T2086" s="1">
        <v>0</v>
      </c>
      <c r="U2086" s="1">
        <v>0</v>
      </c>
      <c r="V2086" s="1">
        <v>0</v>
      </c>
    </row>
    <row r="2087" spans="1:22" x14ac:dyDescent="0.2">
      <c r="A2087" s="1" t="s">
        <v>1629</v>
      </c>
      <c r="B2087" s="1" t="s">
        <v>2094</v>
      </c>
      <c r="C2087" s="1">
        <v>0</v>
      </c>
      <c r="D2087" s="1">
        <v>0</v>
      </c>
      <c r="E2087" s="1">
        <v>0</v>
      </c>
      <c r="F2087" s="1">
        <v>0</v>
      </c>
      <c r="G2087" s="1">
        <v>0</v>
      </c>
      <c r="H2087" s="1">
        <v>0</v>
      </c>
      <c r="I2087" s="1">
        <v>0</v>
      </c>
      <c r="J2087" s="1">
        <v>0</v>
      </c>
      <c r="K2087" s="1">
        <v>0</v>
      </c>
      <c r="L2087" s="1">
        <v>0</v>
      </c>
      <c r="M2087" s="1">
        <v>0</v>
      </c>
      <c r="N2087" s="1">
        <v>0</v>
      </c>
      <c r="O2087" s="1">
        <v>43</v>
      </c>
      <c r="P2087" s="1">
        <v>0</v>
      </c>
      <c r="Q2087" s="1">
        <v>0</v>
      </c>
      <c r="R2087" s="1">
        <v>0</v>
      </c>
      <c r="S2087" s="1">
        <v>0</v>
      </c>
      <c r="T2087" s="1">
        <v>0</v>
      </c>
      <c r="U2087" s="1">
        <v>0</v>
      </c>
      <c r="V2087" s="1">
        <v>0</v>
      </c>
    </row>
    <row r="2088" spans="1:22" x14ac:dyDescent="0.2">
      <c r="A2088" s="1" t="s">
        <v>1629</v>
      </c>
      <c r="B2088" s="1" t="s">
        <v>2095</v>
      </c>
      <c r="C2088" s="1">
        <v>0</v>
      </c>
      <c r="D2088" s="1">
        <v>0</v>
      </c>
      <c r="E2088" s="1">
        <v>0</v>
      </c>
      <c r="F2088" s="1">
        <v>0</v>
      </c>
      <c r="G2088" s="1">
        <v>0</v>
      </c>
      <c r="H2088" s="1">
        <v>0</v>
      </c>
      <c r="I2088" s="1">
        <v>0</v>
      </c>
      <c r="J2088" s="1">
        <v>0</v>
      </c>
      <c r="K2088" s="1">
        <v>0</v>
      </c>
      <c r="L2088" s="1">
        <v>0</v>
      </c>
      <c r="M2088" s="1">
        <v>0</v>
      </c>
      <c r="N2088" s="1">
        <v>0</v>
      </c>
      <c r="O2088" s="1">
        <v>2</v>
      </c>
      <c r="P2088" s="1">
        <v>0</v>
      </c>
      <c r="Q2088" s="1">
        <v>0</v>
      </c>
      <c r="R2088" s="1">
        <v>0</v>
      </c>
      <c r="S2088" s="1">
        <v>0</v>
      </c>
      <c r="T2088" s="1">
        <v>0</v>
      </c>
      <c r="U2088" s="1">
        <v>0</v>
      </c>
      <c r="V2088" s="1">
        <v>0</v>
      </c>
    </row>
    <row r="2089" spans="1:22" x14ac:dyDescent="0.2">
      <c r="A2089" s="1" t="s">
        <v>1629</v>
      </c>
      <c r="B2089" s="1" t="s">
        <v>2096</v>
      </c>
      <c r="C2089" s="1">
        <v>0</v>
      </c>
      <c r="D2089" s="1">
        <v>0</v>
      </c>
      <c r="E2089" s="1">
        <v>0</v>
      </c>
      <c r="F2089" s="1">
        <v>0</v>
      </c>
      <c r="G2089" s="1">
        <v>0</v>
      </c>
      <c r="H2089" s="1">
        <v>0</v>
      </c>
      <c r="I2089" s="1">
        <v>0</v>
      </c>
      <c r="J2089" s="1">
        <v>0</v>
      </c>
      <c r="K2089" s="1">
        <v>0</v>
      </c>
      <c r="L2089" s="1">
        <v>0</v>
      </c>
      <c r="M2089" s="1">
        <v>0</v>
      </c>
      <c r="N2089" s="1">
        <v>0</v>
      </c>
      <c r="O2089" s="1">
        <v>1</v>
      </c>
      <c r="P2089" s="1">
        <v>0</v>
      </c>
      <c r="Q2089" s="1">
        <v>0</v>
      </c>
      <c r="R2089" s="1">
        <v>0</v>
      </c>
      <c r="S2089" s="1">
        <v>0</v>
      </c>
      <c r="T2089" s="1">
        <v>0</v>
      </c>
      <c r="U2089" s="1">
        <v>0</v>
      </c>
      <c r="V2089" s="1">
        <v>0</v>
      </c>
    </row>
    <row r="2090" spans="1:22" x14ac:dyDescent="0.2">
      <c r="A2090" s="1" t="s">
        <v>1629</v>
      </c>
      <c r="B2090" s="1" t="s">
        <v>2097</v>
      </c>
      <c r="C2090" s="1">
        <v>71</v>
      </c>
      <c r="D2090" s="1">
        <v>115</v>
      </c>
      <c r="E2090" s="1">
        <v>161</v>
      </c>
      <c r="F2090" s="1">
        <v>171</v>
      </c>
      <c r="G2090" s="1">
        <v>133</v>
      </c>
      <c r="H2090" s="1">
        <v>128</v>
      </c>
      <c r="I2090" s="1">
        <v>70</v>
      </c>
      <c r="J2090" s="1">
        <v>262</v>
      </c>
      <c r="K2090" s="1">
        <v>233</v>
      </c>
      <c r="L2090" s="1">
        <v>799</v>
      </c>
      <c r="M2090" s="1">
        <v>644</v>
      </c>
      <c r="N2090" s="1">
        <v>761</v>
      </c>
      <c r="O2090" s="1">
        <v>2122</v>
      </c>
      <c r="P2090" s="1">
        <v>869</v>
      </c>
      <c r="Q2090" s="1">
        <v>736</v>
      </c>
      <c r="R2090" s="1">
        <v>1156</v>
      </c>
      <c r="S2090" s="1">
        <v>967</v>
      </c>
      <c r="T2090" s="1">
        <v>1068</v>
      </c>
      <c r="U2090" s="1">
        <v>1148</v>
      </c>
      <c r="V2090" s="1">
        <v>1367</v>
      </c>
    </row>
    <row r="2091" spans="1:22" x14ac:dyDescent="0.2">
      <c r="A2091" s="1" t="s">
        <v>1629</v>
      </c>
      <c r="B2091" s="1" t="s">
        <v>2098</v>
      </c>
      <c r="C2091" s="1">
        <f t="shared" ref="C2091:K2091" si="314">SUM(C2092:C2100)</f>
        <v>3553</v>
      </c>
      <c r="D2091" s="1">
        <f t="shared" si="314"/>
        <v>3333</v>
      </c>
      <c r="E2091" s="1">
        <f t="shared" si="314"/>
        <v>3694</v>
      </c>
      <c r="F2091" s="1">
        <f t="shared" si="314"/>
        <v>3369</v>
      </c>
      <c r="G2091" s="1">
        <f t="shared" si="314"/>
        <v>3388</v>
      </c>
      <c r="H2091" s="1">
        <f t="shared" si="314"/>
        <v>4195</v>
      </c>
      <c r="I2091" s="1">
        <f t="shared" si="314"/>
        <v>4003</v>
      </c>
      <c r="J2091" s="1">
        <f t="shared" si="314"/>
        <v>5292</v>
      </c>
      <c r="K2091" s="1">
        <f t="shared" si="314"/>
        <v>8258</v>
      </c>
      <c r="L2091" s="1">
        <f>SUM(L2092:L2100)</f>
        <v>9258</v>
      </c>
      <c r="M2091" s="1">
        <f>SUM(M2092:M2100)</f>
        <v>9703</v>
      </c>
      <c r="N2091" s="1">
        <f>SUM(N2092:N2100)</f>
        <v>9030</v>
      </c>
      <c r="O2091" s="1">
        <f>SUM(O2092:O2100)</f>
        <v>6941</v>
      </c>
      <c r="P2091" s="1">
        <f t="shared" ref="P2091:V2091" si="315">SUM(P2092:P2100)</f>
        <v>5323</v>
      </c>
      <c r="Q2091" s="1">
        <f t="shared" si="315"/>
        <v>6117</v>
      </c>
      <c r="R2091" s="1">
        <f t="shared" si="315"/>
        <v>7208</v>
      </c>
      <c r="S2091" s="1">
        <f t="shared" si="315"/>
        <v>8331</v>
      </c>
      <c r="T2091" s="1">
        <f t="shared" si="315"/>
        <v>8673</v>
      </c>
      <c r="U2091" s="1">
        <f t="shared" si="315"/>
        <v>9501</v>
      </c>
      <c r="V2091" s="1">
        <f t="shared" si="315"/>
        <v>11380</v>
      </c>
    </row>
    <row r="2092" spans="1:22" x14ac:dyDescent="0.2">
      <c r="A2092" s="1" t="s">
        <v>1629</v>
      </c>
      <c r="B2092" s="1" t="s">
        <v>2099</v>
      </c>
      <c r="C2092" s="1">
        <v>1235</v>
      </c>
      <c r="D2092" s="1">
        <v>1148</v>
      </c>
      <c r="E2092" s="1">
        <v>1124</v>
      </c>
      <c r="F2092" s="1">
        <v>1070</v>
      </c>
      <c r="G2092" s="1">
        <v>1016</v>
      </c>
      <c r="H2092" s="1">
        <v>1135</v>
      </c>
      <c r="I2092" s="1">
        <v>837</v>
      </c>
      <c r="J2092" s="1">
        <v>636</v>
      </c>
      <c r="K2092" s="1">
        <v>628</v>
      </c>
      <c r="L2092" s="1">
        <v>659</v>
      </c>
      <c r="M2092" s="1">
        <v>758</v>
      </c>
      <c r="N2092" s="1">
        <v>834</v>
      </c>
      <c r="O2092" s="1">
        <v>1022</v>
      </c>
      <c r="P2092" s="1">
        <v>835</v>
      </c>
      <c r="Q2092" s="1">
        <v>843</v>
      </c>
      <c r="R2092" s="1">
        <v>1045</v>
      </c>
      <c r="S2092" s="1">
        <v>1421</v>
      </c>
      <c r="T2092" s="1">
        <v>1932</v>
      </c>
      <c r="U2092" s="1">
        <v>1662</v>
      </c>
      <c r="V2092" s="1">
        <v>2009</v>
      </c>
    </row>
    <row r="2093" spans="1:22" x14ac:dyDescent="0.2">
      <c r="A2093" s="1" t="s">
        <v>1629</v>
      </c>
      <c r="B2093" s="1" t="s">
        <v>2100</v>
      </c>
      <c r="C2093" s="1">
        <v>1875</v>
      </c>
      <c r="D2093" s="1">
        <v>1754</v>
      </c>
      <c r="E2093" s="1">
        <v>1918</v>
      </c>
      <c r="F2093" s="1">
        <v>857</v>
      </c>
      <c r="G2093" s="1">
        <v>874</v>
      </c>
      <c r="H2093" s="1">
        <v>1658</v>
      </c>
      <c r="I2093" s="1">
        <v>1702</v>
      </c>
      <c r="J2093" s="1">
        <v>1585</v>
      </c>
      <c r="K2093" s="1">
        <v>1396</v>
      </c>
      <c r="L2093" s="1">
        <v>1860</v>
      </c>
      <c r="M2093" s="1">
        <v>1469</v>
      </c>
      <c r="N2093" s="1">
        <v>1615</v>
      </c>
      <c r="O2093" s="1">
        <v>2590</v>
      </c>
      <c r="P2093" s="1">
        <v>1295</v>
      </c>
      <c r="Q2093" s="1">
        <v>1532</v>
      </c>
      <c r="R2093" s="1">
        <v>2093</v>
      </c>
      <c r="S2093" s="1">
        <v>2110</v>
      </c>
      <c r="T2093" s="1">
        <v>1083</v>
      </c>
      <c r="U2093" s="1">
        <v>1804</v>
      </c>
      <c r="V2093" s="1">
        <v>2103</v>
      </c>
    </row>
    <row r="2094" spans="1:22" x14ac:dyDescent="0.2">
      <c r="A2094" s="1" t="s">
        <v>1629</v>
      </c>
      <c r="B2094" s="1" t="s">
        <v>2101</v>
      </c>
      <c r="C2094" s="1">
        <v>0</v>
      </c>
      <c r="D2094" s="1">
        <v>0</v>
      </c>
      <c r="E2094" s="1">
        <v>0</v>
      </c>
      <c r="F2094" s="1">
        <v>329</v>
      </c>
      <c r="G2094" s="1">
        <v>322</v>
      </c>
      <c r="H2094" s="1">
        <v>323</v>
      </c>
      <c r="I2094" s="1">
        <v>380</v>
      </c>
      <c r="J2094" s="1">
        <v>315</v>
      </c>
      <c r="K2094" s="1">
        <v>304</v>
      </c>
      <c r="L2094" s="1">
        <v>362</v>
      </c>
      <c r="M2094" s="1">
        <v>333</v>
      </c>
      <c r="N2094" s="1">
        <v>341</v>
      </c>
      <c r="O2094" s="1">
        <v>323</v>
      </c>
      <c r="P2094" s="1">
        <v>362</v>
      </c>
      <c r="Q2094" s="1">
        <v>302</v>
      </c>
      <c r="R2094" s="1">
        <v>305</v>
      </c>
      <c r="S2094" s="1">
        <v>326</v>
      </c>
      <c r="T2094" s="1">
        <v>315</v>
      </c>
      <c r="U2094" s="1">
        <v>378</v>
      </c>
      <c r="V2094" s="1">
        <v>382</v>
      </c>
    </row>
    <row r="2095" spans="1:22" x14ac:dyDescent="0.2">
      <c r="A2095" s="1" t="s">
        <v>1629</v>
      </c>
      <c r="B2095" s="1" t="s">
        <v>2102</v>
      </c>
      <c r="C2095" s="1">
        <v>251</v>
      </c>
      <c r="D2095" s="1">
        <v>253</v>
      </c>
      <c r="E2095" s="1">
        <v>377</v>
      </c>
      <c r="F2095" s="1">
        <v>383</v>
      </c>
      <c r="G2095" s="1">
        <v>483</v>
      </c>
      <c r="H2095" s="1">
        <v>355</v>
      </c>
      <c r="I2095" s="1">
        <v>291</v>
      </c>
      <c r="J2095" s="1">
        <v>288</v>
      </c>
      <c r="K2095" s="1">
        <v>226</v>
      </c>
      <c r="L2095" s="1">
        <v>0</v>
      </c>
      <c r="M2095" s="1">
        <v>0</v>
      </c>
      <c r="N2095" s="1">
        <v>0</v>
      </c>
      <c r="O2095" s="1">
        <v>28</v>
      </c>
      <c r="P2095" s="1">
        <v>2</v>
      </c>
      <c r="Q2095" s="1">
        <v>0</v>
      </c>
      <c r="R2095" s="1">
        <v>0</v>
      </c>
      <c r="S2095" s="1">
        <v>0</v>
      </c>
      <c r="T2095" s="1">
        <v>0</v>
      </c>
      <c r="U2095" s="1">
        <v>0</v>
      </c>
      <c r="V2095" s="1">
        <v>1</v>
      </c>
    </row>
    <row r="2096" spans="1:22" x14ac:dyDescent="0.2">
      <c r="A2096" s="1" t="s">
        <v>1629</v>
      </c>
      <c r="B2096" s="1" t="s">
        <v>2103</v>
      </c>
      <c r="C2096" s="1">
        <v>0</v>
      </c>
      <c r="D2096" s="1">
        <v>0</v>
      </c>
      <c r="E2096" s="1">
        <v>0</v>
      </c>
      <c r="F2096" s="1">
        <v>0</v>
      </c>
      <c r="G2096" s="1">
        <v>0</v>
      </c>
      <c r="H2096" s="1">
        <v>0</v>
      </c>
      <c r="I2096" s="1">
        <v>0</v>
      </c>
      <c r="J2096" s="1">
        <v>1384</v>
      </c>
      <c r="K2096" s="1">
        <v>1602</v>
      </c>
      <c r="L2096" s="1">
        <v>2042</v>
      </c>
      <c r="M2096" s="1">
        <v>4001</v>
      </c>
      <c r="N2096" s="1">
        <v>4184</v>
      </c>
      <c r="O2096" s="1">
        <v>2424</v>
      </c>
      <c r="P2096" s="1">
        <v>2217</v>
      </c>
      <c r="Q2096" s="1">
        <v>2813</v>
      </c>
      <c r="R2096" s="1">
        <v>3166</v>
      </c>
      <c r="S2096" s="1">
        <v>3903</v>
      </c>
      <c r="T2096" s="1">
        <v>4585</v>
      </c>
      <c r="U2096" s="1">
        <v>5056</v>
      </c>
      <c r="V2096" s="1">
        <v>6172</v>
      </c>
    </row>
    <row r="2097" spans="1:25" x14ac:dyDescent="0.2">
      <c r="A2097" s="1" t="s">
        <v>1629</v>
      </c>
      <c r="B2097" s="1" t="s">
        <v>2104</v>
      </c>
      <c r="C2097" s="1">
        <v>192</v>
      </c>
      <c r="D2097" s="1">
        <v>178</v>
      </c>
      <c r="E2097" s="1">
        <v>275</v>
      </c>
      <c r="F2097" s="1">
        <v>193</v>
      </c>
      <c r="G2097" s="1">
        <v>155</v>
      </c>
      <c r="H2097" s="1">
        <v>149</v>
      </c>
      <c r="I2097" s="1">
        <v>222</v>
      </c>
      <c r="J2097" s="1">
        <v>492</v>
      </c>
      <c r="K2097" s="1">
        <v>2822</v>
      </c>
      <c r="L2097" s="1">
        <v>3282</v>
      </c>
      <c r="M2097" s="1">
        <v>2070</v>
      </c>
      <c r="N2097" s="1">
        <v>938</v>
      </c>
      <c r="O2097" s="1">
        <v>0</v>
      </c>
      <c r="P2097" s="1">
        <v>3</v>
      </c>
      <c r="Q2097" s="1">
        <v>2</v>
      </c>
      <c r="R2097" s="1">
        <v>0</v>
      </c>
      <c r="S2097" s="1">
        <v>0</v>
      </c>
      <c r="T2097" s="1">
        <v>0</v>
      </c>
      <c r="U2097" s="1">
        <v>0</v>
      </c>
      <c r="V2097" s="1">
        <v>0</v>
      </c>
    </row>
    <row r="2098" spans="1:25" x14ac:dyDescent="0.2">
      <c r="A2098" s="1" t="s">
        <v>1629</v>
      </c>
      <c r="B2098" s="1" t="s">
        <v>2105</v>
      </c>
      <c r="C2098" s="1">
        <v>0</v>
      </c>
      <c r="D2098" s="1">
        <v>0</v>
      </c>
      <c r="E2098" s="1">
        <v>0</v>
      </c>
      <c r="F2098" s="1">
        <v>0</v>
      </c>
      <c r="G2098" s="1">
        <v>0</v>
      </c>
      <c r="H2098" s="1">
        <v>0</v>
      </c>
      <c r="I2098" s="1">
        <v>0</v>
      </c>
      <c r="J2098" s="1">
        <v>0</v>
      </c>
      <c r="K2098" s="1">
        <v>589</v>
      </c>
      <c r="L2098" s="1">
        <v>508</v>
      </c>
      <c r="M2098" s="1">
        <v>449</v>
      </c>
      <c r="N2098" s="1">
        <v>551</v>
      </c>
      <c r="O2098" s="1">
        <v>59</v>
      </c>
      <c r="P2098" s="1">
        <v>36</v>
      </c>
      <c r="Q2098" s="1">
        <v>43</v>
      </c>
      <c r="R2098" s="1">
        <v>46</v>
      </c>
      <c r="S2098" s="1">
        <v>61</v>
      </c>
      <c r="T2098" s="1">
        <v>120</v>
      </c>
      <c r="U2098" s="1">
        <v>66</v>
      </c>
      <c r="V2098" s="1">
        <v>31</v>
      </c>
    </row>
    <row r="2099" spans="1:25" x14ac:dyDescent="0.2">
      <c r="A2099" s="1" t="s">
        <v>1629</v>
      </c>
      <c r="B2099" s="1" t="s">
        <v>2106</v>
      </c>
      <c r="C2099" s="1">
        <v>0</v>
      </c>
      <c r="D2099" s="1">
        <v>0</v>
      </c>
      <c r="E2099" s="1">
        <v>0</v>
      </c>
      <c r="F2099" s="1">
        <v>0</v>
      </c>
      <c r="G2099" s="1">
        <v>0</v>
      </c>
      <c r="H2099" s="1">
        <v>0</v>
      </c>
      <c r="I2099" s="1">
        <v>0</v>
      </c>
      <c r="J2099" s="1">
        <v>0</v>
      </c>
      <c r="K2099" s="1">
        <v>0</v>
      </c>
      <c r="L2099" s="1">
        <v>0</v>
      </c>
      <c r="M2099" s="1">
        <v>0</v>
      </c>
      <c r="N2099" s="1">
        <v>0</v>
      </c>
      <c r="O2099" s="1">
        <v>0</v>
      </c>
      <c r="P2099" s="1">
        <v>3</v>
      </c>
      <c r="Q2099" s="1">
        <v>4</v>
      </c>
      <c r="R2099" s="1">
        <v>4</v>
      </c>
      <c r="S2099" s="1">
        <v>6</v>
      </c>
      <c r="T2099" s="1">
        <v>5</v>
      </c>
      <c r="U2099" s="1">
        <v>3</v>
      </c>
      <c r="V2099" s="1">
        <v>6</v>
      </c>
    </row>
    <row r="2100" spans="1:25" x14ac:dyDescent="0.2">
      <c r="A2100" s="1" t="s">
        <v>1629</v>
      </c>
      <c r="B2100" s="1" t="s">
        <v>2107</v>
      </c>
      <c r="C2100" s="1">
        <v>0</v>
      </c>
      <c r="D2100" s="1">
        <v>0</v>
      </c>
      <c r="E2100" s="1">
        <v>0</v>
      </c>
      <c r="F2100" s="1">
        <v>537</v>
      </c>
      <c r="G2100" s="1">
        <v>538</v>
      </c>
      <c r="H2100" s="1">
        <v>575</v>
      </c>
      <c r="I2100" s="1">
        <v>571</v>
      </c>
      <c r="J2100" s="1">
        <v>592</v>
      </c>
      <c r="K2100" s="1">
        <v>691</v>
      </c>
      <c r="L2100" s="1">
        <v>545</v>
      </c>
      <c r="M2100" s="1">
        <v>623</v>
      </c>
      <c r="N2100" s="1">
        <v>567</v>
      </c>
      <c r="O2100" s="1">
        <v>495</v>
      </c>
      <c r="P2100" s="1">
        <v>570</v>
      </c>
      <c r="Q2100" s="1">
        <v>578</v>
      </c>
      <c r="R2100" s="1">
        <v>549</v>
      </c>
      <c r="S2100" s="1">
        <v>504</v>
      </c>
      <c r="T2100" s="1">
        <v>633</v>
      </c>
      <c r="U2100" s="1">
        <v>532</v>
      </c>
      <c r="V2100" s="1">
        <v>676</v>
      </c>
    </row>
    <row r="2101" spans="1:25" x14ac:dyDescent="0.2">
      <c r="A2101" s="1" t="s">
        <v>1629</v>
      </c>
      <c r="B2101" s="1" t="s">
        <v>2108</v>
      </c>
      <c r="C2101" s="1">
        <v>0</v>
      </c>
      <c r="D2101" s="1">
        <v>0</v>
      </c>
      <c r="E2101" s="1">
        <v>0</v>
      </c>
      <c r="F2101" s="1">
        <v>0</v>
      </c>
      <c r="G2101" s="1">
        <v>0</v>
      </c>
      <c r="H2101" s="1">
        <v>0</v>
      </c>
      <c r="I2101" s="1">
        <v>0</v>
      </c>
      <c r="J2101" s="1">
        <v>665</v>
      </c>
      <c r="K2101" s="1">
        <v>1528</v>
      </c>
      <c r="L2101" s="1">
        <v>1620</v>
      </c>
      <c r="M2101" s="1">
        <v>1443</v>
      </c>
      <c r="N2101" s="1">
        <v>715</v>
      </c>
      <c r="O2101" s="1">
        <v>106</v>
      </c>
      <c r="P2101" s="1">
        <v>433</v>
      </c>
      <c r="Q2101" s="1">
        <v>62</v>
      </c>
      <c r="R2101" s="1">
        <v>722</v>
      </c>
      <c r="S2101" s="1">
        <v>1158</v>
      </c>
      <c r="T2101" s="1">
        <v>1096</v>
      </c>
      <c r="U2101" s="1">
        <v>1898</v>
      </c>
      <c r="V2101" s="1">
        <v>2084</v>
      </c>
      <c r="W2101" s="5"/>
      <c r="X2101" s="5"/>
      <c r="Y2101" s="5"/>
    </row>
    <row r="2102" spans="1:25" x14ac:dyDescent="0.2">
      <c r="A2102" s="1" t="s">
        <v>1629</v>
      </c>
      <c r="B2102" s="1" t="s">
        <v>2109</v>
      </c>
      <c r="C2102" s="1">
        <v>770</v>
      </c>
      <c r="D2102" s="1">
        <v>1042</v>
      </c>
      <c r="E2102" s="1">
        <v>1187</v>
      </c>
      <c r="F2102" s="1">
        <v>1561</v>
      </c>
      <c r="G2102" s="1">
        <v>1525</v>
      </c>
      <c r="H2102" s="1">
        <v>2005</v>
      </c>
      <c r="I2102" s="1">
        <v>2248</v>
      </c>
      <c r="J2102" s="1">
        <f>993+31</f>
        <v>1024</v>
      </c>
      <c r="K2102" s="1">
        <v>1213</v>
      </c>
      <c r="L2102" s="1">
        <f>1334+38</f>
        <v>1372</v>
      </c>
      <c r="M2102" s="1">
        <f>1092+51</f>
        <v>1143</v>
      </c>
      <c r="N2102" s="1">
        <f>1475+52</f>
        <v>1527</v>
      </c>
      <c r="O2102" s="1">
        <v>501</v>
      </c>
      <c r="P2102" s="1">
        <v>206</v>
      </c>
      <c r="Q2102" s="1">
        <v>144</v>
      </c>
      <c r="R2102" s="1">
        <f>353+25</f>
        <v>378</v>
      </c>
      <c r="S2102" s="1">
        <f>1341+4</f>
        <v>1345</v>
      </c>
      <c r="T2102" s="1">
        <f>2951-13</f>
        <v>2938</v>
      </c>
      <c r="U2102" s="1">
        <f>2296-41</f>
        <v>2255</v>
      </c>
      <c r="V2102" s="1">
        <v>3398</v>
      </c>
      <c r="W2102" s="5"/>
      <c r="X2102" s="5"/>
      <c r="Y2102" s="5"/>
    </row>
    <row r="2103" spans="1:25" x14ac:dyDescent="0.2">
      <c r="A2103" s="1" t="s">
        <v>2110</v>
      </c>
      <c r="B2103" s="1" t="s">
        <v>2111</v>
      </c>
      <c r="C2103" s="1">
        <f>C2104+C2105</f>
        <v>4758</v>
      </c>
      <c r="D2103" s="1">
        <f>D2104+D2105</f>
        <v>5704</v>
      </c>
      <c r="E2103" s="1">
        <f>E2104+E2105</f>
        <v>6381</v>
      </c>
      <c r="F2103" s="1">
        <f t="shared" ref="F2103:R2103" si="316">F2104+F2105</f>
        <v>6903</v>
      </c>
      <c r="G2103" s="1">
        <f t="shared" si="316"/>
        <v>8042</v>
      </c>
      <c r="H2103" s="1">
        <f t="shared" si="316"/>
        <v>7265</v>
      </c>
      <c r="I2103" s="1">
        <f t="shared" si="316"/>
        <v>7794</v>
      </c>
      <c r="J2103" s="1">
        <f t="shared" si="316"/>
        <v>8028</v>
      </c>
      <c r="K2103" s="1">
        <f t="shared" si="316"/>
        <v>7662</v>
      </c>
      <c r="L2103" s="1">
        <f t="shared" si="316"/>
        <v>8818</v>
      </c>
      <c r="M2103" s="1">
        <f t="shared" si="316"/>
        <v>9895</v>
      </c>
      <c r="N2103" s="1">
        <f t="shared" si="316"/>
        <v>10997</v>
      </c>
      <c r="O2103" s="1">
        <f t="shared" si="316"/>
        <v>12335</v>
      </c>
      <c r="P2103" s="1">
        <f t="shared" si="316"/>
        <v>13268</v>
      </c>
      <c r="Q2103" s="1">
        <f t="shared" si="316"/>
        <v>13360</v>
      </c>
      <c r="R2103" s="1">
        <f t="shared" si="316"/>
        <v>12966</v>
      </c>
      <c r="S2103" s="1">
        <f>S2104+S2105</f>
        <v>12915</v>
      </c>
      <c r="T2103" s="1">
        <f>T2104+T2105</f>
        <v>13559</v>
      </c>
      <c r="U2103" s="1">
        <f>U2104+U2105</f>
        <v>16322</v>
      </c>
      <c r="V2103" s="1">
        <f>V2104+V2105</f>
        <v>17515</v>
      </c>
    </row>
    <row r="2104" spans="1:25" x14ac:dyDescent="0.2">
      <c r="A2104" s="1" t="s">
        <v>2110</v>
      </c>
      <c r="B2104" s="1" t="s">
        <v>2112</v>
      </c>
      <c r="C2104" s="1">
        <v>1753</v>
      </c>
      <c r="D2104" s="1">
        <v>2207</v>
      </c>
      <c r="E2104" s="1">
        <v>2669</v>
      </c>
      <c r="F2104" s="1">
        <v>3276</v>
      </c>
      <c r="G2104" s="1">
        <v>3908</v>
      </c>
      <c r="H2104" s="1">
        <v>3637</v>
      </c>
      <c r="I2104" s="1">
        <v>4208</v>
      </c>
      <c r="J2104" s="1">
        <v>4292</v>
      </c>
      <c r="K2104" s="1">
        <v>3806</v>
      </c>
      <c r="L2104" s="1">
        <v>3849</v>
      </c>
      <c r="M2104" s="1">
        <v>3856</v>
      </c>
      <c r="N2104" s="1">
        <v>3923</v>
      </c>
      <c r="O2104" s="1">
        <v>4250</v>
      </c>
      <c r="P2104" s="1">
        <v>4491</v>
      </c>
      <c r="Q2104" s="1">
        <v>4532</v>
      </c>
      <c r="R2104" s="1">
        <v>4095</v>
      </c>
      <c r="S2104" s="1">
        <v>3882</v>
      </c>
      <c r="T2104" s="1">
        <v>4259</v>
      </c>
      <c r="U2104" s="1">
        <v>5107</v>
      </c>
      <c r="V2104" s="1">
        <v>6255</v>
      </c>
    </row>
    <row r="2105" spans="1:25" x14ac:dyDescent="0.2">
      <c r="A2105" s="1" t="s">
        <v>2110</v>
      </c>
      <c r="B2105" s="1" t="s">
        <v>2113</v>
      </c>
      <c r="C2105" s="1">
        <f>C2106+C2107+C2123+C2124+C2125+C2126+C2127</f>
        <v>3005</v>
      </c>
      <c r="D2105" s="1">
        <f t="shared" ref="D2105:V2105" si="317">D2106+D2107+D2123+D2124+D2125+D2126+D2127</f>
        <v>3497</v>
      </c>
      <c r="E2105" s="1">
        <f t="shared" si="317"/>
        <v>3712</v>
      </c>
      <c r="F2105" s="1">
        <f t="shared" si="317"/>
        <v>3627</v>
      </c>
      <c r="G2105" s="1">
        <f t="shared" si="317"/>
        <v>4134</v>
      </c>
      <c r="H2105" s="1">
        <f t="shared" si="317"/>
        <v>3628</v>
      </c>
      <c r="I2105" s="1">
        <f t="shared" si="317"/>
        <v>3586</v>
      </c>
      <c r="J2105" s="1">
        <f t="shared" si="317"/>
        <v>3736</v>
      </c>
      <c r="K2105" s="1">
        <f t="shared" si="317"/>
        <v>3856</v>
      </c>
      <c r="L2105" s="1">
        <f t="shared" si="317"/>
        <v>4969</v>
      </c>
      <c r="M2105" s="1">
        <f t="shared" si="317"/>
        <v>6039</v>
      </c>
      <c r="N2105" s="1">
        <f t="shared" si="317"/>
        <v>7074</v>
      </c>
      <c r="O2105" s="1">
        <f t="shared" si="317"/>
        <v>8085</v>
      </c>
      <c r="P2105" s="1">
        <f t="shared" si="317"/>
        <v>8777</v>
      </c>
      <c r="Q2105" s="1">
        <f t="shared" si="317"/>
        <v>8828</v>
      </c>
      <c r="R2105" s="1">
        <f t="shared" si="317"/>
        <v>8871</v>
      </c>
      <c r="S2105" s="1">
        <f t="shared" si="317"/>
        <v>9033</v>
      </c>
      <c r="T2105" s="1">
        <f t="shared" si="317"/>
        <v>9300</v>
      </c>
      <c r="U2105" s="1">
        <f t="shared" si="317"/>
        <v>11215</v>
      </c>
      <c r="V2105" s="1">
        <f t="shared" si="317"/>
        <v>11260</v>
      </c>
    </row>
    <row r="2106" spans="1:25" x14ac:dyDescent="0.2">
      <c r="A2106" s="1" t="s">
        <v>2110</v>
      </c>
      <c r="B2106" s="1" t="s">
        <v>2114</v>
      </c>
      <c r="C2106" s="1">
        <v>182</v>
      </c>
      <c r="D2106" s="1">
        <v>170</v>
      </c>
      <c r="E2106" s="1">
        <v>175</v>
      </c>
      <c r="F2106" s="1">
        <v>175</v>
      </c>
      <c r="G2106" s="1">
        <v>134</v>
      </c>
      <c r="H2106" s="1">
        <v>90</v>
      </c>
      <c r="I2106" s="1">
        <v>148</v>
      </c>
      <c r="J2106" s="1">
        <v>144</v>
      </c>
      <c r="K2106" s="1">
        <v>102</v>
      </c>
      <c r="L2106" s="1">
        <v>85</v>
      </c>
      <c r="M2106" s="1">
        <v>103</v>
      </c>
      <c r="N2106" s="1">
        <v>99</v>
      </c>
      <c r="O2106" s="1">
        <v>125</v>
      </c>
      <c r="P2106" s="1">
        <v>152</v>
      </c>
      <c r="Q2106" s="1">
        <v>164</v>
      </c>
      <c r="R2106" s="1">
        <v>155</v>
      </c>
      <c r="S2106" s="1">
        <v>171</v>
      </c>
      <c r="T2106" s="1">
        <v>260</v>
      </c>
      <c r="U2106" s="1">
        <v>288</v>
      </c>
      <c r="V2106" s="1">
        <v>406</v>
      </c>
    </row>
    <row r="2107" spans="1:25" x14ac:dyDescent="0.2">
      <c r="A2107" s="1" t="s">
        <v>2110</v>
      </c>
      <c r="B2107" s="1" t="s">
        <v>2115</v>
      </c>
      <c r="C2107" s="1">
        <f>SUM(C2108:C2122)</f>
        <v>1910</v>
      </c>
      <c r="D2107" s="1">
        <f t="shared" ref="D2107:V2107" si="318">SUM(D2108:D2122)</f>
        <v>2209</v>
      </c>
      <c r="E2107" s="1">
        <f t="shared" si="318"/>
        <v>2248</v>
      </c>
      <c r="F2107" s="1">
        <f t="shared" si="318"/>
        <v>2170</v>
      </c>
      <c r="G2107" s="1">
        <f t="shared" si="318"/>
        <v>2734</v>
      </c>
      <c r="H2107" s="1">
        <f t="shared" si="318"/>
        <v>2371</v>
      </c>
      <c r="I2107" s="1">
        <f t="shared" si="318"/>
        <v>2176</v>
      </c>
      <c r="J2107" s="1">
        <f t="shared" si="318"/>
        <v>2340</v>
      </c>
      <c r="K2107" s="1">
        <f t="shared" si="318"/>
        <v>2594</v>
      </c>
      <c r="L2107" s="1">
        <f t="shared" si="318"/>
        <v>3380</v>
      </c>
      <c r="M2107" s="1">
        <f t="shared" si="318"/>
        <v>3746</v>
      </c>
      <c r="N2107" s="1">
        <f t="shared" si="318"/>
        <v>4335</v>
      </c>
      <c r="O2107" s="1">
        <f t="shared" si="318"/>
        <v>5277</v>
      </c>
      <c r="P2107" s="1">
        <f t="shared" si="318"/>
        <v>5488</v>
      </c>
      <c r="Q2107" s="1">
        <f t="shared" si="318"/>
        <v>5406</v>
      </c>
      <c r="R2107" s="1">
        <f t="shared" si="318"/>
        <v>5433</v>
      </c>
      <c r="S2107" s="1">
        <f t="shared" si="318"/>
        <v>5267</v>
      </c>
      <c r="T2107" s="1">
        <f t="shared" si="318"/>
        <v>5016</v>
      </c>
      <c r="U2107" s="1">
        <f t="shared" si="318"/>
        <v>5677</v>
      </c>
      <c r="V2107" s="1">
        <f t="shared" si="318"/>
        <v>5423</v>
      </c>
    </row>
    <row r="2108" spans="1:25" x14ac:dyDescent="0.2">
      <c r="A2108" s="1" t="s">
        <v>2110</v>
      </c>
      <c r="B2108" s="1" t="s">
        <v>2116</v>
      </c>
      <c r="C2108" s="1">
        <v>181</v>
      </c>
      <c r="D2108" s="1">
        <v>159</v>
      </c>
      <c r="E2108" s="1">
        <v>147</v>
      </c>
      <c r="F2108" s="1">
        <v>168</v>
      </c>
      <c r="G2108" s="1">
        <v>228</v>
      </c>
      <c r="H2108" s="1">
        <v>211</v>
      </c>
      <c r="I2108" s="1">
        <v>194</v>
      </c>
      <c r="J2108" s="1">
        <v>218</v>
      </c>
      <c r="K2108" s="1">
        <v>166</v>
      </c>
      <c r="L2108" s="1">
        <v>141</v>
      </c>
      <c r="M2108" s="1">
        <v>147</v>
      </c>
      <c r="N2108" s="1">
        <v>269</v>
      </c>
      <c r="O2108" s="1">
        <v>633</v>
      </c>
      <c r="P2108" s="1">
        <v>617</v>
      </c>
      <c r="Q2108" s="1">
        <v>729</v>
      </c>
      <c r="R2108" s="1">
        <v>755</v>
      </c>
      <c r="S2108" s="1">
        <v>654</v>
      </c>
      <c r="T2108" s="1">
        <v>707</v>
      </c>
      <c r="U2108" s="1">
        <v>842</v>
      </c>
      <c r="V2108" s="1">
        <v>825</v>
      </c>
    </row>
    <row r="2109" spans="1:25" x14ac:dyDescent="0.2">
      <c r="A2109" s="1" t="s">
        <v>2110</v>
      </c>
      <c r="B2109" s="1" t="s">
        <v>2117</v>
      </c>
      <c r="C2109" s="1">
        <v>127</v>
      </c>
      <c r="D2109" s="1">
        <v>133</v>
      </c>
      <c r="E2109" s="1">
        <v>151</v>
      </c>
      <c r="F2109" s="1">
        <v>151</v>
      </c>
      <c r="G2109" s="1">
        <v>155</v>
      </c>
      <c r="H2109" s="1">
        <v>105</v>
      </c>
      <c r="I2109" s="1">
        <v>117</v>
      </c>
      <c r="J2109" s="1">
        <v>102</v>
      </c>
      <c r="K2109" s="1">
        <v>115</v>
      </c>
      <c r="L2109" s="1">
        <v>185</v>
      </c>
      <c r="M2109" s="1">
        <v>193</v>
      </c>
      <c r="N2109" s="1">
        <v>216</v>
      </c>
      <c r="O2109" s="1">
        <v>347</v>
      </c>
      <c r="P2109" s="1">
        <v>335</v>
      </c>
      <c r="Q2109" s="1">
        <v>376</v>
      </c>
      <c r="R2109" s="1">
        <v>386</v>
      </c>
      <c r="S2109" s="1">
        <v>398</v>
      </c>
      <c r="T2109" s="1">
        <v>425</v>
      </c>
      <c r="U2109" s="1">
        <v>433</v>
      </c>
      <c r="V2109" s="1">
        <v>478</v>
      </c>
    </row>
    <row r="2110" spans="1:25" x14ac:dyDescent="0.2">
      <c r="A2110" s="1" t="s">
        <v>2110</v>
      </c>
      <c r="B2110" s="1" t="s">
        <v>2118</v>
      </c>
      <c r="C2110" s="1">
        <v>119</v>
      </c>
      <c r="D2110" s="1">
        <v>116</v>
      </c>
      <c r="E2110" s="1">
        <v>131</v>
      </c>
      <c r="F2110" s="1">
        <v>117</v>
      </c>
      <c r="G2110" s="1">
        <v>167</v>
      </c>
      <c r="H2110" s="1">
        <v>117</v>
      </c>
      <c r="I2110" s="1">
        <v>101</v>
      </c>
      <c r="J2110" s="1">
        <v>118</v>
      </c>
      <c r="K2110" s="1">
        <v>94</v>
      </c>
      <c r="L2110" s="1">
        <v>136</v>
      </c>
      <c r="M2110" s="1">
        <v>108</v>
      </c>
      <c r="N2110" s="1">
        <v>148</v>
      </c>
      <c r="O2110" s="1">
        <v>242</v>
      </c>
      <c r="P2110" s="1">
        <v>219</v>
      </c>
      <c r="Q2110" s="1">
        <v>250</v>
      </c>
      <c r="R2110" s="1">
        <v>289</v>
      </c>
      <c r="S2110" s="1">
        <v>248</v>
      </c>
      <c r="T2110" s="1">
        <v>224</v>
      </c>
      <c r="U2110" s="1">
        <v>296</v>
      </c>
      <c r="V2110" s="1">
        <v>286</v>
      </c>
    </row>
    <row r="2111" spans="1:25" x14ac:dyDescent="0.2">
      <c r="A2111" s="1" t="s">
        <v>2110</v>
      </c>
      <c r="B2111" s="1" t="s">
        <v>2119</v>
      </c>
      <c r="C2111" s="1">
        <v>59</v>
      </c>
      <c r="D2111" s="1">
        <v>100</v>
      </c>
      <c r="E2111" s="1">
        <v>111</v>
      </c>
      <c r="F2111" s="1">
        <v>118</v>
      </c>
      <c r="G2111" s="1">
        <v>128</v>
      </c>
      <c r="H2111" s="1">
        <v>111</v>
      </c>
      <c r="I2111" s="1">
        <v>73</v>
      </c>
      <c r="J2111" s="1">
        <v>101</v>
      </c>
      <c r="K2111" s="1">
        <v>85</v>
      </c>
      <c r="L2111" s="1">
        <v>148</v>
      </c>
      <c r="M2111" s="1">
        <v>99</v>
      </c>
      <c r="N2111" s="1">
        <v>92</v>
      </c>
      <c r="O2111" s="1">
        <v>149</v>
      </c>
      <c r="P2111" s="1">
        <v>180</v>
      </c>
      <c r="Q2111" s="1">
        <v>173</v>
      </c>
      <c r="R2111" s="1">
        <v>140</v>
      </c>
      <c r="S2111" s="1">
        <v>174</v>
      </c>
      <c r="T2111" s="1">
        <v>146</v>
      </c>
      <c r="U2111" s="1">
        <v>171</v>
      </c>
      <c r="V2111" s="1">
        <v>168</v>
      </c>
    </row>
    <row r="2112" spans="1:25" x14ac:dyDescent="0.2">
      <c r="A2112" s="1" t="s">
        <v>2110</v>
      </c>
      <c r="B2112" s="1" t="s">
        <v>2120</v>
      </c>
      <c r="C2112" s="1">
        <v>439</v>
      </c>
      <c r="D2112" s="1">
        <v>508</v>
      </c>
      <c r="E2112" s="1">
        <v>464</v>
      </c>
      <c r="F2112" s="1">
        <v>357</v>
      </c>
      <c r="G2112" s="1">
        <v>531</v>
      </c>
      <c r="H2112" s="1">
        <v>501</v>
      </c>
      <c r="I2112" s="1">
        <v>387</v>
      </c>
      <c r="J2112" s="1">
        <v>368</v>
      </c>
      <c r="K2112" s="1">
        <v>456</v>
      </c>
      <c r="L2112" s="1">
        <v>637</v>
      </c>
      <c r="M2112" s="1">
        <v>838</v>
      </c>
      <c r="N2112" s="1">
        <v>953</v>
      </c>
      <c r="O2112" s="1">
        <v>1106</v>
      </c>
      <c r="P2112" s="1">
        <v>1323</v>
      </c>
      <c r="Q2112" s="1">
        <v>1304</v>
      </c>
      <c r="R2112" s="1">
        <v>1239</v>
      </c>
      <c r="S2112" s="1">
        <v>1156</v>
      </c>
      <c r="T2112" s="1">
        <v>1080</v>
      </c>
      <c r="U2112" s="1">
        <v>1244</v>
      </c>
      <c r="V2112" s="1">
        <v>1059</v>
      </c>
    </row>
    <row r="2113" spans="1:22" x14ac:dyDescent="0.2">
      <c r="A2113" s="1" t="s">
        <v>2110</v>
      </c>
      <c r="B2113" s="1" t="s">
        <v>2121</v>
      </c>
      <c r="C2113" s="1">
        <v>459</v>
      </c>
      <c r="D2113" s="1">
        <v>534</v>
      </c>
      <c r="E2113" s="1">
        <v>540</v>
      </c>
      <c r="F2113" s="1">
        <v>539</v>
      </c>
      <c r="G2113" s="1">
        <v>588</v>
      </c>
      <c r="H2113" s="1">
        <v>599</v>
      </c>
      <c r="I2113" s="1">
        <v>542</v>
      </c>
      <c r="J2113" s="1">
        <v>624</v>
      </c>
      <c r="K2113" s="1">
        <v>707</v>
      </c>
      <c r="L2113" s="1">
        <v>914</v>
      </c>
      <c r="M2113" s="1">
        <v>1051</v>
      </c>
      <c r="N2113" s="1">
        <v>1197</v>
      </c>
      <c r="O2113" s="1">
        <v>1330</v>
      </c>
      <c r="P2113" s="1">
        <v>1476</v>
      </c>
      <c r="Q2113" s="1">
        <v>1225</v>
      </c>
      <c r="R2113" s="1">
        <v>1292</v>
      </c>
      <c r="S2113" s="1">
        <v>1151</v>
      </c>
      <c r="T2113" s="1">
        <v>1070</v>
      </c>
      <c r="U2113" s="1">
        <v>1231</v>
      </c>
      <c r="V2113" s="1">
        <v>946</v>
      </c>
    </row>
    <row r="2114" spans="1:22" x14ac:dyDescent="0.2">
      <c r="A2114" s="1" t="s">
        <v>2110</v>
      </c>
      <c r="B2114" s="1" t="s">
        <v>2122</v>
      </c>
      <c r="C2114" s="1">
        <v>181</v>
      </c>
      <c r="D2114" s="1">
        <v>230</v>
      </c>
      <c r="E2114" s="1">
        <v>271</v>
      </c>
      <c r="F2114" s="1">
        <v>280</v>
      </c>
      <c r="G2114" s="1">
        <v>392</v>
      </c>
      <c r="H2114" s="1">
        <v>321</v>
      </c>
      <c r="I2114" s="1">
        <v>343</v>
      </c>
      <c r="J2114" s="1">
        <v>362</v>
      </c>
      <c r="K2114" s="1">
        <v>440</v>
      </c>
      <c r="L2114" s="1">
        <v>538</v>
      </c>
      <c r="M2114" s="1">
        <v>515</v>
      </c>
      <c r="N2114" s="1">
        <v>638</v>
      </c>
      <c r="O2114" s="1">
        <v>642</v>
      </c>
      <c r="P2114" s="1">
        <v>583</v>
      </c>
      <c r="Q2114" s="1">
        <v>572</v>
      </c>
      <c r="R2114" s="1">
        <v>658</v>
      </c>
      <c r="S2114" s="1">
        <v>655</v>
      </c>
      <c r="T2114" s="1">
        <v>661</v>
      </c>
      <c r="U2114" s="1">
        <v>739</v>
      </c>
      <c r="V2114" s="1">
        <v>827</v>
      </c>
    </row>
    <row r="2115" spans="1:22" x14ac:dyDescent="0.2">
      <c r="A2115" s="1" t="s">
        <v>2110</v>
      </c>
      <c r="B2115" s="1" t="s">
        <v>2123</v>
      </c>
      <c r="C2115" s="1">
        <v>171</v>
      </c>
      <c r="D2115" s="1">
        <v>199</v>
      </c>
      <c r="E2115" s="1">
        <v>214</v>
      </c>
      <c r="F2115" s="1">
        <v>228</v>
      </c>
      <c r="G2115" s="1">
        <v>334</v>
      </c>
      <c r="H2115" s="1">
        <v>215</v>
      </c>
      <c r="I2115" s="1">
        <v>217</v>
      </c>
      <c r="J2115" s="1">
        <v>261</v>
      </c>
      <c r="K2115" s="1">
        <v>294</v>
      </c>
      <c r="L2115" s="1">
        <v>350</v>
      </c>
      <c r="M2115" s="1">
        <v>372</v>
      </c>
      <c r="N2115" s="1">
        <v>453</v>
      </c>
      <c r="O2115" s="1">
        <v>382</v>
      </c>
      <c r="P2115" s="1">
        <v>400</v>
      </c>
      <c r="Q2115" s="1">
        <v>400</v>
      </c>
      <c r="R2115" s="1">
        <v>356</v>
      </c>
      <c r="S2115" s="1">
        <v>443</v>
      </c>
      <c r="T2115" s="1">
        <v>385</v>
      </c>
      <c r="U2115" s="1">
        <v>380</v>
      </c>
      <c r="V2115" s="1">
        <v>412</v>
      </c>
    </row>
    <row r="2116" spans="1:22" x14ac:dyDescent="0.2">
      <c r="A2116" s="1" t="s">
        <v>2110</v>
      </c>
      <c r="B2116" s="1" t="s">
        <v>2124</v>
      </c>
      <c r="C2116" s="1">
        <v>71</v>
      </c>
      <c r="D2116" s="1">
        <v>75</v>
      </c>
      <c r="E2116" s="1">
        <v>79</v>
      </c>
      <c r="F2116" s="1">
        <v>66</v>
      </c>
      <c r="G2116" s="1">
        <v>63</v>
      </c>
      <c r="H2116" s="1">
        <v>77</v>
      </c>
      <c r="I2116" s="1">
        <v>77</v>
      </c>
      <c r="J2116" s="1">
        <v>71</v>
      </c>
      <c r="K2116" s="1">
        <v>98</v>
      </c>
      <c r="L2116" s="1">
        <v>112</v>
      </c>
      <c r="M2116" s="1">
        <v>153</v>
      </c>
      <c r="N2116" s="1">
        <v>121</v>
      </c>
      <c r="O2116" s="1">
        <v>168</v>
      </c>
      <c r="P2116" s="1">
        <v>149</v>
      </c>
      <c r="Q2116" s="1">
        <v>130</v>
      </c>
      <c r="R2116" s="1">
        <v>103</v>
      </c>
      <c r="S2116" s="1">
        <v>142</v>
      </c>
      <c r="T2116" s="1">
        <v>108</v>
      </c>
      <c r="U2116" s="1">
        <v>117</v>
      </c>
      <c r="V2116" s="1">
        <v>162</v>
      </c>
    </row>
    <row r="2117" spans="1:22" x14ac:dyDescent="0.2">
      <c r="A2117" s="1" t="s">
        <v>2110</v>
      </c>
      <c r="B2117" s="1" t="s">
        <v>2125</v>
      </c>
      <c r="C2117" s="1">
        <v>43</v>
      </c>
      <c r="D2117" s="1">
        <v>54</v>
      </c>
      <c r="E2117" s="1">
        <v>57</v>
      </c>
      <c r="F2117" s="1">
        <v>48</v>
      </c>
      <c r="G2117" s="1">
        <v>54</v>
      </c>
      <c r="H2117" s="1">
        <v>57</v>
      </c>
      <c r="I2117" s="1">
        <v>52</v>
      </c>
      <c r="J2117" s="1">
        <v>49</v>
      </c>
      <c r="K2117" s="1">
        <v>63</v>
      </c>
      <c r="L2117" s="1">
        <v>87</v>
      </c>
      <c r="M2117" s="1">
        <v>99</v>
      </c>
      <c r="N2117" s="1">
        <v>96</v>
      </c>
      <c r="O2117" s="1">
        <v>110</v>
      </c>
      <c r="P2117" s="1">
        <v>79</v>
      </c>
      <c r="Q2117" s="1">
        <v>113</v>
      </c>
      <c r="R2117" s="1">
        <v>67</v>
      </c>
      <c r="S2117" s="1">
        <v>88</v>
      </c>
      <c r="T2117" s="1">
        <v>94</v>
      </c>
      <c r="U2117" s="1">
        <v>80</v>
      </c>
      <c r="V2117" s="1">
        <v>96</v>
      </c>
    </row>
    <row r="2118" spans="1:22" x14ac:dyDescent="0.2">
      <c r="A2118" s="1" t="s">
        <v>2110</v>
      </c>
      <c r="B2118" s="1" t="s">
        <v>2126</v>
      </c>
      <c r="C2118" s="1">
        <v>25</v>
      </c>
      <c r="D2118" s="1">
        <v>24</v>
      </c>
      <c r="E2118" s="1">
        <v>28</v>
      </c>
      <c r="F2118" s="1">
        <v>27</v>
      </c>
      <c r="G2118" s="1">
        <v>20</v>
      </c>
      <c r="H2118" s="1">
        <v>14</v>
      </c>
      <c r="I2118" s="1">
        <v>13</v>
      </c>
      <c r="J2118" s="1">
        <v>21</v>
      </c>
      <c r="K2118" s="1">
        <v>28</v>
      </c>
      <c r="L2118" s="1">
        <v>50</v>
      </c>
      <c r="M2118" s="1">
        <v>57</v>
      </c>
      <c r="N2118" s="1">
        <v>48</v>
      </c>
      <c r="O2118" s="1">
        <v>56</v>
      </c>
      <c r="P2118" s="1">
        <v>33</v>
      </c>
      <c r="Q2118" s="1">
        <v>34</v>
      </c>
      <c r="R2118" s="1">
        <v>48</v>
      </c>
      <c r="S2118" s="1">
        <v>48</v>
      </c>
      <c r="T2118" s="1">
        <v>46</v>
      </c>
      <c r="U2118" s="1">
        <v>42</v>
      </c>
      <c r="V2118" s="1">
        <v>44</v>
      </c>
    </row>
    <row r="2119" spans="1:22" x14ac:dyDescent="0.2">
      <c r="A2119" s="1" t="s">
        <v>2110</v>
      </c>
      <c r="B2119" s="1" t="s">
        <v>2127</v>
      </c>
      <c r="C2119" s="1">
        <v>10</v>
      </c>
      <c r="D2119" s="1">
        <v>28</v>
      </c>
      <c r="E2119" s="1">
        <v>21</v>
      </c>
      <c r="F2119" s="1">
        <v>36</v>
      </c>
      <c r="G2119" s="1">
        <v>39</v>
      </c>
      <c r="H2119" s="1">
        <v>14</v>
      </c>
      <c r="I2119" s="1">
        <v>31</v>
      </c>
      <c r="J2119" s="1">
        <v>18</v>
      </c>
      <c r="K2119" s="1">
        <v>26</v>
      </c>
      <c r="L2119" s="1">
        <v>24</v>
      </c>
      <c r="M2119" s="1">
        <v>40</v>
      </c>
      <c r="N2119" s="1">
        <v>32</v>
      </c>
      <c r="O2119" s="1">
        <v>59</v>
      </c>
      <c r="P2119" s="1">
        <v>24</v>
      </c>
      <c r="Q2119" s="1">
        <v>38</v>
      </c>
      <c r="R2119" s="1">
        <v>42</v>
      </c>
      <c r="S2119" s="1">
        <v>34</v>
      </c>
      <c r="T2119" s="1">
        <v>22</v>
      </c>
      <c r="U2119" s="1">
        <v>31</v>
      </c>
      <c r="V2119" s="1">
        <v>38</v>
      </c>
    </row>
    <row r="2120" spans="1:22" x14ac:dyDescent="0.2">
      <c r="A2120" s="1" t="s">
        <v>2110</v>
      </c>
      <c r="B2120" s="1" t="s">
        <v>2128</v>
      </c>
      <c r="C2120" s="1">
        <v>7</v>
      </c>
      <c r="D2120" s="1">
        <v>19</v>
      </c>
      <c r="E2120" s="1">
        <v>18</v>
      </c>
      <c r="F2120" s="1">
        <v>13</v>
      </c>
      <c r="G2120" s="1">
        <v>13</v>
      </c>
      <c r="H2120" s="1">
        <v>10</v>
      </c>
      <c r="I2120" s="1">
        <v>16</v>
      </c>
      <c r="J2120" s="1">
        <v>15</v>
      </c>
      <c r="K2120" s="1">
        <v>9</v>
      </c>
      <c r="L2120" s="1">
        <v>14</v>
      </c>
      <c r="M2120" s="1">
        <v>31</v>
      </c>
      <c r="N2120" s="1">
        <v>34</v>
      </c>
      <c r="O2120" s="1">
        <v>21</v>
      </c>
      <c r="P2120" s="1">
        <v>29</v>
      </c>
      <c r="Q2120" s="1">
        <v>31</v>
      </c>
      <c r="R2120" s="1">
        <v>28</v>
      </c>
      <c r="S2120" s="1">
        <v>30</v>
      </c>
      <c r="T2120" s="1">
        <v>21</v>
      </c>
      <c r="U2120" s="1">
        <v>33</v>
      </c>
      <c r="V2120" s="1">
        <v>33</v>
      </c>
    </row>
    <row r="2121" spans="1:22" x14ac:dyDescent="0.2">
      <c r="A2121" s="1" t="s">
        <v>2110</v>
      </c>
      <c r="B2121" s="1" t="s">
        <v>2129</v>
      </c>
      <c r="C2121" s="1">
        <v>6</v>
      </c>
      <c r="D2121" s="1">
        <v>7</v>
      </c>
      <c r="E2121" s="1">
        <v>2</v>
      </c>
      <c r="F2121" s="1">
        <v>3</v>
      </c>
      <c r="G2121" s="1">
        <v>9</v>
      </c>
      <c r="H2121" s="1">
        <v>5</v>
      </c>
      <c r="I2121" s="1">
        <v>2</v>
      </c>
      <c r="J2121" s="1">
        <v>4</v>
      </c>
      <c r="K2121" s="1">
        <v>4</v>
      </c>
      <c r="L2121" s="1">
        <v>7</v>
      </c>
      <c r="M2121" s="1">
        <v>7</v>
      </c>
      <c r="N2121" s="1">
        <v>5</v>
      </c>
      <c r="O2121" s="1">
        <v>8</v>
      </c>
      <c r="P2121" s="1">
        <v>14</v>
      </c>
      <c r="Q2121" s="1">
        <v>8</v>
      </c>
      <c r="R2121" s="1">
        <v>12</v>
      </c>
      <c r="S2121" s="1">
        <v>15</v>
      </c>
      <c r="T2121" s="1">
        <v>5</v>
      </c>
      <c r="U2121" s="1">
        <v>11</v>
      </c>
      <c r="V2121" s="1">
        <v>8</v>
      </c>
    </row>
    <row r="2122" spans="1:22" x14ac:dyDescent="0.2">
      <c r="A2122" s="1" t="s">
        <v>2110</v>
      </c>
      <c r="B2122" s="1" t="s">
        <v>2130</v>
      </c>
      <c r="C2122" s="1">
        <v>12</v>
      </c>
      <c r="D2122" s="1">
        <v>23</v>
      </c>
      <c r="E2122" s="1">
        <v>14</v>
      </c>
      <c r="F2122" s="1">
        <v>19</v>
      </c>
      <c r="G2122" s="1">
        <v>13</v>
      </c>
      <c r="H2122" s="1">
        <v>14</v>
      </c>
      <c r="I2122" s="1">
        <v>11</v>
      </c>
      <c r="J2122" s="1">
        <v>8</v>
      </c>
      <c r="K2122" s="1">
        <v>9</v>
      </c>
      <c r="L2122" s="1">
        <v>37</v>
      </c>
      <c r="M2122" s="1">
        <v>36</v>
      </c>
      <c r="N2122" s="1">
        <v>33</v>
      </c>
      <c r="O2122" s="1">
        <v>24</v>
      </c>
      <c r="P2122" s="1">
        <v>27</v>
      </c>
      <c r="Q2122" s="1">
        <v>23</v>
      </c>
      <c r="R2122" s="1">
        <v>18</v>
      </c>
      <c r="S2122" s="1">
        <v>31</v>
      </c>
      <c r="T2122" s="1">
        <v>22</v>
      </c>
      <c r="U2122" s="1">
        <v>27</v>
      </c>
      <c r="V2122" s="1">
        <v>41</v>
      </c>
    </row>
    <row r="2123" spans="1:22" x14ac:dyDescent="0.2">
      <c r="A2123" s="1" t="s">
        <v>2110</v>
      </c>
      <c r="B2123" s="1" t="s">
        <v>2131</v>
      </c>
      <c r="C2123" s="1">
        <v>0</v>
      </c>
      <c r="D2123" s="1">
        <v>0</v>
      </c>
      <c r="E2123" s="1">
        <v>0</v>
      </c>
      <c r="F2123" s="1">
        <v>0</v>
      </c>
      <c r="G2123" s="1">
        <v>0</v>
      </c>
      <c r="H2123" s="1">
        <v>0</v>
      </c>
      <c r="I2123" s="1">
        <v>0</v>
      </c>
      <c r="J2123" s="1">
        <v>0</v>
      </c>
      <c r="K2123" s="1">
        <v>0</v>
      </c>
      <c r="L2123" s="1">
        <v>0</v>
      </c>
      <c r="M2123" s="1">
        <v>0</v>
      </c>
      <c r="N2123" s="1">
        <v>0</v>
      </c>
      <c r="O2123" s="1">
        <v>0</v>
      </c>
      <c r="P2123" s="1">
        <v>0</v>
      </c>
      <c r="Q2123" s="1">
        <v>0</v>
      </c>
      <c r="R2123" s="1">
        <v>14</v>
      </c>
      <c r="S2123" s="1">
        <v>131</v>
      </c>
      <c r="T2123" s="1">
        <v>200</v>
      </c>
      <c r="U2123" s="1">
        <v>397</v>
      </c>
      <c r="V2123" s="1">
        <v>455</v>
      </c>
    </row>
    <row r="2124" spans="1:22" x14ac:dyDescent="0.2">
      <c r="A2124" s="1" t="s">
        <v>2110</v>
      </c>
      <c r="B2124" s="1" t="s">
        <v>2132</v>
      </c>
      <c r="C2124" s="1">
        <v>894</v>
      </c>
      <c r="D2124" s="1">
        <v>1095</v>
      </c>
      <c r="E2124" s="1">
        <v>1270</v>
      </c>
      <c r="F2124" s="1">
        <v>1258</v>
      </c>
      <c r="G2124" s="1">
        <v>1244</v>
      </c>
      <c r="H2124" s="1">
        <v>1137</v>
      </c>
      <c r="I2124" s="1">
        <v>1236</v>
      </c>
      <c r="J2124" s="1">
        <v>1205</v>
      </c>
      <c r="K2124" s="1">
        <v>1124</v>
      </c>
      <c r="L2124" s="1">
        <v>1431</v>
      </c>
      <c r="M2124" s="1">
        <v>2095</v>
      </c>
      <c r="N2124" s="1">
        <v>2507</v>
      </c>
      <c r="O2124" s="1">
        <v>2542</v>
      </c>
      <c r="P2124" s="1">
        <v>2966</v>
      </c>
      <c r="Q2124" s="1">
        <v>2975</v>
      </c>
      <c r="R2124" s="1">
        <v>2968</v>
      </c>
      <c r="S2124" s="1">
        <v>3107</v>
      </c>
      <c r="T2124" s="1">
        <v>3358</v>
      </c>
      <c r="U2124" s="1">
        <v>4306</v>
      </c>
      <c r="V2124" s="1">
        <v>4273</v>
      </c>
    </row>
    <row r="2125" spans="1:22" x14ac:dyDescent="0.2">
      <c r="A2125" s="1" t="s">
        <v>2110</v>
      </c>
      <c r="B2125" s="1" t="s">
        <v>2133</v>
      </c>
      <c r="C2125" s="1">
        <v>19</v>
      </c>
      <c r="D2125" s="1">
        <v>23</v>
      </c>
      <c r="E2125" s="1">
        <v>19</v>
      </c>
      <c r="F2125" s="1">
        <v>24</v>
      </c>
      <c r="G2125" s="1">
        <v>22</v>
      </c>
      <c r="H2125" s="1">
        <v>30</v>
      </c>
      <c r="I2125" s="1">
        <v>26</v>
      </c>
      <c r="J2125" s="1">
        <v>47</v>
      </c>
      <c r="K2125" s="1">
        <v>36</v>
      </c>
      <c r="L2125" s="1">
        <v>26</v>
      </c>
      <c r="M2125" s="1">
        <v>23</v>
      </c>
      <c r="N2125" s="1">
        <v>30</v>
      </c>
      <c r="O2125" s="1">
        <v>30</v>
      </c>
      <c r="P2125" s="1">
        <v>44</v>
      </c>
      <c r="Q2125" s="1">
        <v>87</v>
      </c>
      <c r="R2125" s="1">
        <v>45</v>
      </c>
      <c r="S2125" s="1">
        <v>52</v>
      </c>
      <c r="T2125" s="1">
        <v>57</v>
      </c>
      <c r="U2125" s="1">
        <v>101</v>
      </c>
      <c r="V2125" s="1">
        <v>87</v>
      </c>
    </row>
    <row r="2126" spans="1:22" x14ac:dyDescent="0.2">
      <c r="A2126" s="1" t="s">
        <v>2110</v>
      </c>
      <c r="B2126" s="1" t="s">
        <v>2134</v>
      </c>
      <c r="C2126" s="1">
        <v>0</v>
      </c>
      <c r="D2126" s="1">
        <v>0</v>
      </c>
      <c r="E2126" s="1">
        <v>0</v>
      </c>
      <c r="F2126" s="1">
        <v>0</v>
      </c>
      <c r="G2126" s="1">
        <v>0</v>
      </c>
      <c r="H2126" s="1">
        <v>0</v>
      </c>
      <c r="I2126" s="1">
        <v>0</v>
      </c>
      <c r="J2126" s="1">
        <v>0</v>
      </c>
      <c r="K2126" s="1">
        <v>0</v>
      </c>
      <c r="L2126" s="1">
        <v>47</v>
      </c>
      <c r="M2126" s="1">
        <v>72</v>
      </c>
      <c r="N2126" s="1">
        <v>103</v>
      </c>
      <c r="O2126" s="1">
        <v>111</v>
      </c>
      <c r="P2126" s="1">
        <v>127</v>
      </c>
      <c r="Q2126" s="1">
        <v>196</v>
      </c>
      <c r="R2126" s="1">
        <v>256</v>
      </c>
      <c r="S2126" s="1">
        <v>305</v>
      </c>
      <c r="T2126" s="1">
        <v>409</v>
      </c>
      <c r="U2126" s="1">
        <v>445</v>
      </c>
      <c r="V2126" s="1">
        <v>615</v>
      </c>
    </row>
    <row r="2127" spans="1:22" x14ac:dyDescent="0.2">
      <c r="A2127" s="1" t="s">
        <v>2110</v>
      </c>
      <c r="B2127" s="1" t="s">
        <v>2135</v>
      </c>
      <c r="C2127" s="1">
        <v>0</v>
      </c>
      <c r="D2127" s="1">
        <v>0</v>
      </c>
      <c r="E2127" s="1">
        <v>0</v>
      </c>
      <c r="F2127" s="1">
        <v>0</v>
      </c>
      <c r="G2127" s="1">
        <v>0</v>
      </c>
      <c r="H2127" s="1">
        <v>0</v>
      </c>
      <c r="I2127" s="1">
        <v>0</v>
      </c>
      <c r="J2127" s="1">
        <v>0</v>
      </c>
      <c r="K2127" s="1">
        <v>0</v>
      </c>
      <c r="L2127" s="1">
        <v>0</v>
      </c>
      <c r="M2127" s="1">
        <v>0</v>
      </c>
      <c r="N2127" s="1">
        <v>0</v>
      </c>
      <c r="O2127" s="1">
        <v>0</v>
      </c>
      <c r="P2127" s="1">
        <v>0</v>
      </c>
      <c r="Q2127" s="1">
        <v>0</v>
      </c>
      <c r="R2127" s="1">
        <v>0</v>
      </c>
      <c r="S2127" s="1">
        <v>0</v>
      </c>
      <c r="T2127" s="1">
        <v>0</v>
      </c>
      <c r="U2127" s="1">
        <v>1</v>
      </c>
      <c r="V2127" s="1">
        <v>1</v>
      </c>
    </row>
    <row r="2128" spans="1:22" s="10" customFormat="1" x14ac:dyDescent="0.2">
      <c r="A2128" s="1" t="s">
        <v>2110</v>
      </c>
      <c r="B2128" s="1" t="s">
        <v>2136</v>
      </c>
      <c r="C2128" s="1"/>
      <c r="D2128" s="1"/>
      <c r="E2128" s="1"/>
      <c r="F2128" s="1"/>
      <c r="G2128" s="1"/>
      <c r="H2128" s="1"/>
      <c r="I2128" s="1"/>
      <c r="J2128" s="1"/>
      <c r="K2128" s="1"/>
      <c r="L2128" s="1"/>
      <c r="M2128" s="1"/>
      <c r="N2128" s="1"/>
      <c r="O2128" s="1"/>
      <c r="P2128" s="1"/>
      <c r="Q2128" s="1"/>
      <c r="R2128" s="1"/>
      <c r="S2128" s="1"/>
      <c r="T2128" s="1">
        <v>8532</v>
      </c>
      <c r="U2128" s="1">
        <v>10224</v>
      </c>
      <c r="V2128" s="1">
        <v>10322</v>
      </c>
    </row>
    <row r="2129" spans="1:23" x14ac:dyDescent="0.2">
      <c r="A2129" s="1" t="s">
        <v>2110</v>
      </c>
      <c r="B2129" s="1" t="s">
        <v>2137</v>
      </c>
      <c r="T2129" s="1">
        <v>768</v>
      </c>
      <c r="U2129" s="1">
        <v>991</v>
      </c>
      <c r="V2129" s="1">
        <v>938</v>
      </c>
    </row>
    <row r="2130" spans="1:23" x14ac:dyDescent="0.2">
      <c r="A2130" s="1" t="s">
        <v>2110</v>
      </c>
      <c r="B2130" s="1" t="s">
        <v>2138</v>
      </c>
      <c r="R2130" s="1">
        <v>8</v>
      </c>
      <c r="S2130" s="1">
        <v>22</v>
      </c>
      <c r="T2130" s="1">
        <v>0</v>
      </c>
      <c r="U2130" s="1">
        <v>20</v>
      </c>
      <c r="V2130" s="1">
        <v>30</v>
      </c>
      <c r="W2130" s="7"/>
    </row>
    <row r="2131" spans="1:23" x14ac:dyDescent="0.2">
      <c r="A2131" s="1" t="s">
        <v>2110</v>
      </c>
      <c r="B2131" s="1" t="s">
        <v>2139</v>
      </c>
      <c r="C2131" s="1">
        <f t="shared" ref="C2131:S2131" si="319">C2132+C2133</f>
        <v>0</v>
      </c>
      <c r="D2131" s="1">
        <f t="shared" si="319"/>
        <v>0</v>
      </c>
      <c r="E2131" s="1">
        <f t="shared" si="319"/>
        <v>0</v>
      </c>
      <c r="F2131" s="1">
        <f t="shared" si="319"/>
        <v>0</v>
      </c>
      <c r="G2131" s="1">
        <f t="shared" si="319"/>
        <v>0</v>
      </c>
      <c r="H2131" s="1">
        <f t="shared" si="319"/>
        <v>0</v>
      </c>
      <c r="I2131" s="1">
        <f t="shared" si="319"/>
        <v>0</v>
      </c>
      <c r="J2131" s="1">
        <f t="shared" si="319"/>
        <v>0</v>
      </c>
      <c r="K2131" s="1">
        <f t="shared" si="319"/>
        <v>0</v>
      </c>
      <c r="L2131" s="1">
        <f t="shared" si="319"/>
        <v>0</v>
      </c>
      <c r="M2131" s="1">
        <f t="shared" si="319"/>
        <v>0</v>
      </c>
      <c r="N2131" s="1">
        <f t="shared" si="319"/>
        <v>0</v>
      </c>
      <c r="O2131" s="1">
        <f t="shared" si="319"/>
        <v>0</v>
      </c>
      <c r="P2131" s="1">
        <f t="shared" si="319"/>
        <v>0</v>
      </c>
      <c r="Q2131" s="1">
        <f t="shared" si="319"/>
        <v>0</v>
      </c>
      <c r="R2131" s="1">
        <f t="shared" si="319"/>
        <v>0</v>
      </c>
      <c r="S2131" s="1">
        <f t="shared" si="319"/>
        <v>0</v>
      </c>
      <c r="T2131" s="1">
        <f>T2132+T2133</f>
        <v>1602</v>
      </c>
      <c r="U2131" s="1">
        <f>U2132+U2133</f>
        <v>1520</v>
      </c>
      <c r="V2131" s="1">
        <f>V2132+V2133</f>
        <v>1364</v>
      </c>
    </row>
    <row r="2132" spans="1:23" x14ac:dyDescent="0.2">
      <c r="A2132" s="1" t="s">
        <v>2110</v>
      </c>
      <c r="B2132" s="1" t="s">
        <v>2140</v>
      </c>
      <c r="T2132" s="1">
        <v>1195</v>
      </c>
      <c r="U2132" s="1">
        <v>1082</v>
      </c>
      <c r="V2132" s="1">
        <v>891</v>
      </c>
    </row>
    <row r="2133" spans="1:23" x14ac:dyDescent="0.2">
      <c r="A2133" s="1" t="s">
        <v>2110</v>
      </c>
      <c r="B2133" s="1" t="s">
        <v>2141</v>
      </c>
      <c r="T2133" s="1">
        <v>407</v>
      </c>
      <c r="U2133" s="1">
        <v>438</v>
      </c>
      <c r="V2133" s="1">
        <v>473</v>
      </c>
    </row>
    <row r="2134" spans="1:23" x14ac:dyDescent="0.2">
      <c r="A2134" s="1" t="s">
        <v>2110</v>
      </c>
      <c r="B2134" s="1" t="s">
        <v>2142</v>
      </c>
      <c r="T2134" s="1">
        <f>SUM(T2135:T2153)</f>
        <v>890</v>
      </c>
      <c r="U2134" s="1">
        <f>SUM(U2135:U2153)</f>
        <v>962</v>
      </c>
      <c r="V2134" s="1">
        <f>SUM(V2135:V2153)</f>
        <v>996</v>
      </c>
    </row>
    <row r="2135" spans="1:23" x14ac:dyDescent="0.2">
      <c r="A2135" s="1" t="s">
        <v>2110</v>
      </c>
      <c r="B2135" s="1" t="s">
        <v>2143</v>
      </c>
      <c r="T2135" s="1">
        <v>1</v>
      </c>
      <c r="U2135" s="1">
        <v>0</v>
      </c>
      <c r="V2135" s="1">
        <v>3</v>
      </c>
    </row>
    <row r="2136" spans="1:23" x14ac:dyDescent="0.2">
      <c r="A2136" s="1" t="s">
        <v>2110</v>
      </c>
      <c r="B2136" s="1" t="s">
        <v>2144</v>
      </c>
      <c r="T2136" s="1">
        <v>7</v>
      </c>
      <c r="U2136" s="1">
        <v>7</v>
      </c>
      <c r="V2136" s="1">
        <v>9</v>
      </c>
    </row>
    <row r="2137" spans="1:23" x14ac:dyDescent="0.2">
      <c r="A2137" s="1" t="s">
        <v>2110</v>
      </c>
      <c r="B2137" s="1" t="s">
        <v>2145</v>
      </c>
      <c r="T2137" s="1">
        <v>1</v>
      </c>
      <c r="U2137" s="1">
        <v>0</v>
      </c>
      <c r="V2137" s="1">
        <v>0</v>
      </c>
    </row>
    <row r="2138" spans="1:23" x14ac:dyDescent="0.2">
      <c r="A2138" s="1" t="s">
        <v>2110</v>
      </c>
      <c r="B2138" s="1" t="s">
        <v>2146</v>
      </c>
      <c r="V2138" s="1">
        <v>1</v>
      </c>
    </row>
    <row r="2139" spans="1:23" x14ac:dyDescent="0.2">
      <c r="A2139" s="1" t="s">
        <v>2110</v>
      </c>
      <c r="B2139" s="1" t="s">
        <v>2147</v>
      </c>
      <c r="T2139" s="1">
        <v>177</v>
      </c>
      <c r="U2139" s="1">
        <v>198</v>
      </c>
      <c r="V2139" s="1">
        <v>212</v>
      </c>
    </row>
    <row r="2140" spans="1:23" x14ac:dyDescent="0.2">
      <c r="A2140" s="1" t="s">
        <v>2110</v>
      </c>
      <c r="B2140" s="1" t="s">
        <v>2148</v>
      </c>
      <c r="T2140" s="1">
        <v>0</v>
      </c>
      <c r="U2140" s="1">
        <v>1</v>
      </c>
      <c r="V2140" s="1">
        <v>0</v>
      </c>
    </row>
    <row r="2141" spans="1:23" x14ac:dyDescent="0.2">
      <c r="A2141" s="1" t="s">
        <v>2110</v>
      </c>
      <c r="B2141" s="1" t="s">
        <v>2149</v>
      </c>
      <c r="T2141" s="1">
        <v>111</v>
      </c>
      <c r="U2141" s="1">
        <v>98</v>
      </c>
      <c r="V2141" s="1">
        <v>124</v>
      </c>
    </row>
    <row r="2142" spans="1:23" x14ac:dyDescent="0.2">
      <c r="A2142" s="1" t="s">
        <v>2110</v>
      </c>
      <c r="B2142" s="1" t="s">
        <v>2150</v>
      </c>
      <c r="T2142" s="1">
        <v>6</v>
      </c>
      <c r="U2142" s="1">
        <v>22</v>
      </c>
      <c r="V2142" s="1">
        <v>18</v>
      </c>
    </row>
    <row r="2143" spans="1:23" x14ac:dyDescent="0.2">
      <c r="A2143" s="1" t="s">
        <v>2110</v>
      </c>
      <c r="B2143" s="1" t="s">
        <v>2151</v>
      </c>
      <c r="T2143" s="1">
        <v>20</v>
      </c>
      <c r="U2143" s="1">
        <v>35</v>
      </c>
      <c r="V2143" s="1">
        <v>32</v>
      </c>
    </row>
    <row r="2144" spans="1:23" x14ac:dyDescent="0.2">
      <c r="A2144" s="1" t="s">
        <v>2110</v>
      </c>
      <c r="B2144" s="1" t="s">
        <v>2152</v>
      </c>
      <c r="T2144" s="1">
        <v>1</v>
      </c>
      <c r="U2144" s="1">
        <v>2</v>
      </c>
      <c r="V2144" s="1">
        <v>0</v>
      </c>
    </row>
    <row r="2145" spans="1:22" x14ac:dyDescent="0.2">
      <c r="A2145" s="1" t="s">
        <v>2110</v>
      </c>
      <c r="B2145" s="1" t="s">
        <v>2153</v>
      </c>
      <c r="T2145" s="1">
        <v>2</v>
      </c>
      <c r="U2145" s="1">
        <v>3</v>
      </c>
      <c r="V2145" s="1">
        <v>4</v>
      </c>
    </row>
    <row r="2146" spans="1:22" x14ac:dyDescent="0.2">
      <c r="A2146" s="1" t="s">
        <v>2110</v>
      </c>
      <c r="B2146" s="1" t="s">
        <v>2154</v>
      </c>
      <c r="T2146" s="1">
        <v>93</v>
      </c>
      <c r="U2146" s="1">
        <v>76</v>
      </c>
      <c r="V2146" s="1">
        <v>88</v>
      </c>
    </row>
    <row r="2147" spans="1:22" x14ac:dyDescent="0.2">
      <c r="A2147" s="1" t="s">
        <v>2110</v>
      </c>
      <c r="B2147" s="1" t="s">
        <v>2155</v>
      </c>
      <c r="T2147" s="1">
        <v>161</v>
      </c>
      <c r="U2147" s="1">
        <v>151</v>
      </c>
      <c r="V2147" s="1">
        <v>158</v>
      </c>
    </row>
    <row r="2148" spans="1:22" x14ac:dyDescent="0.2">
      <c r="A2148" s="1" t="s">
        <v>2110</v>
      </c>
      <c r="B2148" s="1" t="s">
        <v>2156</v>
      </c>
      <c r="T2148" s="1">
        <v>159</v>
      </c>
      <c r="U2148" s="1">
        <v>169</v>
      </c>
      <c r="V2148" s="1">
        <v>177</v>
      </c>
    </row>
    <row r="2149" spans="1:22" x14ac:dyDescent="0.2">
      <c r="A2149" s="1" t="s">
        <v>2110</v>
      </c>
      <c r="B2149" s="1" t="s">
        <v>2157</v>
      </c>
      <c r="V2149" s="1">
        <v>2</v>
      </c>
    </row>
    <row r="2150" spans="1:22" x14ac:dyDescent="0.2">
      <c r="A2150" s="1" t="s">
        <v>2110</v>
      </c>
      <c r="B2150" s="1" t="s">
        <v>2158</v>
      </c>
      <c r="T2150" s="1">
        <v>1</v>
      </c>
      <c r="U2150" s="1">
        <v>1</v>
      </c>
      <c r="V2150" s="1">
        <v>9</v>
      </c>
    </row>
    <row r="2151" spans="1:22" x14ac:dyDescent="0.2">
      <c r="A2151" s="1" t="s">
        <v>2110</v>
      </c>
      <c r="B2151" s="1" t="s">
        <v>2159</v>
      </c>
      <c r="T2151" s="1">
        <v>83</v>
      </c>
      <c r="U2151" s="1">
        <v>81</v>
      </c>
      <c r="V2151" s="1">
        <v>77</v>
      </c>
    </row>
    <row r="2152" spans="1:22" x14ac:dyDescent="0.2">
      <c r="A2152" s="1" t="s">
        <v>2110</v>
      </c>
      <c r="B2152" s="1" t="s">
        <v>2160</v>
      </c>
      <c r="T2152" s="1">
        <v>2</v>
      </c>
      <c r="U2152" s="1">
        <v>1</v>
      </c>
      <c r="V2152" s="1">
        <v>4</v>
      </c>
    </row>
    <row r="2153" spans="1:22" x14ac:dyDescent="0.2">
      <c r="A2153" s="1" t="s">
        <v>2110</v>
      </c>
      <c r="B2153" s="1" t="s">
        <v>2161</v>
      </c>
      <c r="T2153" s="1">
        <v>65</v>
      </c>
      <c r="U2153" s="1">
        <v>117</v>
      </c>
      <c r="V2153" s="1">
        <v>78</v>
      </c>
    </row>
    <row r="2154" spans="1:22" x14ac:dyDescent="0.2">
      <c r="A2154" s="1" t="s">
        <v>2110</v>
      </c>
      <c r="B2154" s="1" t="s">
        <v>2162</v>
      </c>
      <c r="T2154" s="1">
        <f>SUM(T2155:T2157)</f>
        <v>19</v>
      </c>
      <c r="U2154" s="1">
        <f>SUM(U2155:U2157)</f>
        <v>16</v>
      </c>
      <c r="V2154" s="1">
        <f>SUM(V2155:V2157)</f>
        <v>19</v>
      </c>
    </row>
    <row r="2155" spans="1:22" x14ac:dyDescent="0.2">
      <c r="A2155" s="1" t="s">
        <v>2110</v>
      </c>
      <c r="B2155" s="1" t="s">
        <v>2163</v>
      </c>
      <c r="T2155" s="1">
        <v>4</v>
      </c>
      <c r="U2155" s="1">
        <v>1</v>
      </c>
      <c r="V2155" s="1">
        <v>4</v>
      </c>
    </row>
    <row r="2156" spans="1:22" x14ac:dyDescent="0.2">
      <c r="A2156" s="1" t="s">
        <v>2110</v>
      </c>
      <c r="B2156" s="1" t="s">
        <v>2164</v>
      </c>
      <c r="T2156" s="1">
        <v>7</v>
      </c>
      <c r="U2156" s="1">
        <v>2</v>
      </c>
      <c r="V2156" s="1">
        <v>6</v>
      </c>
    </row>
    <row r="2157" spans="1:22" x14ac:dyDescent="0.2">
      <c r="A2157" s="1" t="s">
        <v>2110</v>
      </c>
      <c r="B2157" s="1" t="s">
        <v>2165</v>
      </c>
      <c r="T2157" s="1">
        <v>8</v>
      </c>
      <c r="U2157" s="1">
        <v>13</v>
      </c>
      <c r="V2157" s="1">
        <v>9</v>
      </c>
    </row>
    <row r="2158" spans="1:22" x14ac:dyDescent="0.2">
      <c r="A2158" s="1" t="s">
        <v>2110</v>
      </c>
      <c r="B2158" s="1" t="s">
        <v>2166</v>
      </c>
      <c r="T2158" s="1">
        <f>SUM(T2159:T2184)</f>
        <v>745</v>
      </c>
      <c r="U2158" s="1">
        <f>SUM(U2159:U2184)</f>
        <v>871</v>
      </c>
      <c r="V2158" s="1">
        <f>SUM(V2159:V2184)</f>
        <v>909</v>
      </c>
    </row>
    <row r="2159" spans="1:22" x14ac:dyDescent="0.2">
      <c r="A2159" s="1" t="s">
        <v>2110</v>
      </c>
      <c r="B2159" s="1" t="s">
        <v>2167</v>
      </c>
      <c r="T2159" s="1">
        <v>48</v>
      </c>
      <c r="U2159" s="1">
        <v>56</v>
      </c>
      <c r="V2159" s="1">
        <v>58</v>
      </c>
    </row>
    <row r="2160" spans="1:22" x14ac:dyDescent="0.2">
      <c r="A2160" s="1" t="s">
        <v>2110</v>
      </c>
      <c r="B2160" s="1" t="s">
        <v>2168</v>
      </c>
      <c r="T2160" s="1">
        <v>1</v>
      </c>
      <c r="U2160" s="1">
        <v>2</v>
      </c>
      <c r="V2160" s="1">
        <v>1</v>
      </c>
    </row>
    <row r="2161" spans="1:22" x14ac:dyDescent="0.2">
      <c r="A2161" s="1" t="s">
        <v>2110</v>
      </c>
      <c r="B2161" s="1" t="s">
        <v>2169</v>
      </c>
      <c r="T2161" s="1">
        <v>405</v>
      </c>
      <c r="U2161" s="1">
        <v>481</v>
      </c>
      <c r="V2161" s="1">
        <v>477</v>
      </c>
    </row>
    <row r="2162" spans="1:22" x14ac:dyDescent="0.2">
      <c r="A2162" s="1" t="s">
        <v>2110</v>
      </c>
      <c r="B2162" s="1" t="s">
        <v>2170</v>
      </c>
      <c r="T2162" s="1">
        <v>5</v>
      </c>
      <c r="U2162" s="1">
        <v>5</v>
      </c>
      <c r="V2162" s="1">
        <v>2</v>
      </c>
    </row>
    <row r="2163" spans="1:22" x14ac:dyDescent="0.2">
      <c r="A2163" s="1" t="s">
        <v>2110</v>
      </c>
      <c r="B2163" s="1" t="s">
        <v>2171</v>
      </c>
      <c r="T2163" s="1">
        <v>7</v>
      </c>
      <c r="U2163" s="1">
        <v>7</v>
      </c>
      <c r="V2163" s="1">
        <v>14</v>
      </c>
    </row>
    <row r="2164" spans="1:22" x14ac:dyDescent="0.2">
      <c r="A2164" s="1" t="s">
        <v>2110</v>
      </c>
      <c r="B2164" s="1" t="s">
        <v>2172</v>
      </c>
      <c r="T2164" s="1">
        <v>3</v>
      </c>
      <c r="V2164" s="1">
        <v>0</v>
      </c>
    </row>
    <row r="2165" spans="1:22" x14ac:dyDescent="0.2">
      <c r="A2165" s="1" t="s">
        <v>2110</v>
      </c>
      <c r="B2165" s="1" t="s">
        <v>2173</v>
      </c>
      <c r="T2165" s="1">
        <v>3</v>
      </c>
      <c r="U2165" s="1">
        <v>3</v>
      </c>
      <c r="V2165" s="1">
        <v>3</v>
      </c>
    </row>
    <row r="2166" spans="1:22" x14ac:dyDescent="0.2">
      <c r="A2166" s="1" t="s">
        <v>2110</v>
      </c>
      <c r="B2166" s="1" t="s">
        <v>2174</v>
      </c>
      <c r="T2166" s="1">
        <v>2</v>
      </c>
      <c r="U2166" s="1">
        <v>5</v>
      </c>
      <c r="V2166" s="1">
        <v>4</v>
      </c>
    </row>
    <row r="2167" spans="1:22" x14ac:dyDescent="0.2">
      <c r="A2167" s="1" t="s">
        <v>2110</v>
      </c>
      <c r="B2167" s="1" t="s">
        <v>2175</v>
      </c>
      <c r="T2167" s="1">
        <v>4</v>
      </c>
      <c r="U2167" s="1">
        <v>10</v>
      </c>
      <c r="V2167" s="1">
        <v>19</v>
      </c>
    </row>
    <row r="2168" spans="1:22" x14ac:dyDescent="0.2">
      <c r="A2168" s="1" t="s">
        <v>2110</v>
      </c>
      <c r="B2168" s="1" t="s">
        <v>2176</v>
      </c>
      <c r="T2168" s="1">
        <v>1</v>
      </c>
      <c r="U2168" s="1">
        <v>2</v>
      </c>
      <c r="V2168" s="1">
        <v>1</v>
      </c>
    </row>
    <row r="2169" spans="1:22" x14ac:dyDescent="0.2">
      <c r="A2169" s="1" t="s">
        <v>2110</v>
      </c>
      <c r="B2169" s="1" t="s">
        <v>2177</v>
      </c>
      <c r="U2169" s="1">
        <v>3</v>
      </c>
      <c r="V2169" s="1">
        <v>5</v>
      </c>
    </row>
    <row r="2170" spans="1:22" x14ac:dyDescent="0.2">
      <c r="A2170" s="1" t="s">
        <v>2110</v>
      </c>
      <c r="B2170" s="1" t="s">
        <v>2178</v>
      </c>
      <c r="U2170" s="1">
        <v>2</v>
      </c>
      <c r="V2170" s="1">
        <v>5</v>
      </c>
    </row>
    <row r="2171" spans="1:22" x14ac:dyDescent="0.2">
      <c r="A2171" s="1" t="s">
        <v>2110</v>
      </c>
      <c r="B2171" s="1" t="s">
        <v>2179</v>
      </c>
      <c r="T2171" s="1">
        <v>23</v>
      </c>
      <c r="V2171" s="1">
        <v>30</v>
      </c>
    </row>
    <row r="2172" spans="1:22" x14ac:dyDescent="0.2">
      <c r="A2172" s="1" t="s">
        <v>2110</v>
      </c>
      <c r="B2172" s="1" t="s">
        <v>2180</v>
      </c>
      <c r="V2172" s="1">
        <v>3</v>
      </c>
    </row>
    <row r="2173" spans="1:22" x14ac:dyDescent="0.2">
      <c r="A2173" s="1" t="s">
        <v>2110</v>
      </c>
      <c r="B2173" s="1" t="s">
        <v>2181</v>
      </c>
      <c r="V2173" s="1">
        <v>1</v>
      </c>
    </row>
    <row r="2174" spans="1:22" x14ac:dyDescent="0.2">
      <c r="A2174" s="1" t="s">
        <v>2110</v>
      </c>
      <c r="B2174" s="1" t="s">
        <v>2182</v>
      </c>
      <c r="U2174" s="1">
        <v>3</v>
      </c>
      <c r="V2174" s="1">
        <v>0</v>
      </c>
    </row>
    <row r="2175" spans="1:22" x14ac:dyDescent="0.2">
      <c r="A2175" s="1" t="s">
        <v>2110</v>
      </c>
      <c r="B2175" s="1" t="s">
        <v>2183</v>
      </c>
      <c r="T2175" s="1">
        <v>1</v>
      </c>
      <c r="V2175" s="1">
        <v>1</v>
      </c>
    </row>
    <row r="2176" spans="1:22" x14ac:dyDescent="0.2">
      <c r="A2176" s="1" t="s">
        <v>2110</v>
      </c>
      <c r="B2176" s="1" t="s">
        <v>2184</v>
      </c>
      <c r="U2176" s="1">
        <v>27</v>
      </c>
      <c r="V2176" s="1">
        <v>0</v>
      </c>
    </row>
    <row r="2177" spans="1:22" x14ac:dyDescent="0.2">
      <c r="A2177" s="1" t="s">
        <v>2110</v>
      </c>
      <c r="B2177" s="1" t="s">
        <v>2185</v>
      </c>
      <c r="T2177" s="1">
        <v>4</v>
      </c>
      <c r="U2177" s="1">
        <v>1</v>
      </c>
      <c r="V2177" s="1">
        <v>7</v>
      </c>
    </row>
    <row r="2178" spans="1:22" x14ac:dyDescent="0.2">
      <c r="A2178" s="1" t="s">
        <v>2110</v>
      </c>
      <c r="B2178" s="1" t="s">
        <v>2186</v>
      </c>
      <c r="T2178" s="1">
        <v>2</v>
      </c>
      <c r="U2178" s="1">
        <v>4</v>
      </c>
      <c r="V2178" s="1">
        <v>1</v>
      </c>
    </row>
    <row r="2179" spans="1:22" x14ac:dyDescent="0.2">
      <c r="A2179" s="1" t="s">
        <v>2110</v>
      </c>
      <c r="B2179" s="1" t="s">
        <v>2187</v>
      </c>
      <c r="T2179" s="1">
        <v>2</v>
      </c>
      <c r="U2179" s="1">
        <v>1</v>
      </c>
      <c r="V2179" s="1">
        <v>3</v>
      </c>
    </row>
    <row r="2180" spans="1:22" x14ac:dyDescent="0.2">
      <c r="A2180" s="1" t="s">
        <v>2110</v>
      </c>
      <c r="B2180" s="1" t="s">
        <v>2188</v>
      </c>
      <c r="T2180" s="1">
        <v>19</v>
      </c>
      <c r="U2180" s="1">
        <v>16</v>
      </c>
      <c r="V2180" s="1">
        <v>4</v>
      </c>
    </row>
    <row r="2181" spans="1:22" x14ac:dyDescent="0.2">
      <c r="A2181" s="1" t="s">
        <v>2110</v>
      </c>
      <c r="B2181" s="1" t="s">
        <v>2189</v>
      </c>
      <c r="T2181" s="1">
        <v>190</v>
      </c>
      <c r="U2181" s="1">
        <v>213</v>
      </c>
      <c r="V2181" s="1">
        <v>233</v>
      </c>
    </row>
    <row r="2182" spans="1:22" x14ac:dyDescent="0.2">
      <c r="A2182" s="1" t="s">
        <v>2110</v>
      </c>
      <c r="B2182" s="1" t="s">
        <v>2190</v>
      </c>
      <c r="T2182" s="1">
        <v>7</v>
      </c>
      <c r="U2182" s="1">
        <v>3</v>
      </c>
      <c r="V2182" s="1">
        <v>8</v>
      </c>
    </row>
    <row r="2183" spans="1:22" x14ac:dyDescent="0.2">
      <c r="A2183" s="1" t="s">
        <v>2110</v>
      </c>
      <c r="B2183" s="1" t="s">
        <v>2191</v>
      </c>
      <c r="T2183" s="1">
        <v>18</v>
      </c>
      <c r="U2183" s="1">
        <v>26</v>
      </c>
      <c r="V2183" s="1">
        <v>29</v>
      </c>
    </row>
    <row r="2184" spans="1:22" x14ac:dyDescent="0.2">
      <c r="A2184" s="1" t="s">
        <v>2110</v>
      </c>
      <c r="B2184" s="1" t="s">
        <v>2192</v>
      </c>
      <c r="U2184" s="1">
        <v>1</v>
      </c>
      <c r="V2184" s="1">
        <v>0</v>
      </c>
    </row>
    <row r="2185" spans="1:22" x14ac:dyDescent="0.2">
      <c r="A2185" s="1" t="s">
        <v>2110</v>
      </c>
      <c r="B2185" s="1" t="s">
        <v>2193</v>
      </c>
      <c r="T2185" s="1">
        <f>SUM(T2186:T2192)</f>
        <v>25</v>
      </c>
      <c r="U2185" s="1">
        <f>SUM(U2186:U2192)</f>
        <v>26</v>
      </c>
      <c r="V2185" s="1">
        <f>SUM(V2186:V2192)</f>
        <v>28</v>
      </c>
    </row>
    <row r="2186" spans="1:22" x14ac:dyDescent="0.2">
      <c r="A2186" s="1" t="s">
        <v>2110</v>
      </c>
      <c r="B2186" s="1" t="s">
        <v>2194</v>
      </c>
      <c r="U2186" s="1">
        <v>1</v>
      </c>
      <c r="V2186" s="1">
        <v>0</v>
      </c>
    </row>
    <row r="2187" spans="1:22" x14ac:dyDescent="0.2">
      <c r="A2187" s="1" t="s">
        <v>2110</v>
      </c>
      <c r="B2187" s="1" t="s">
        <v>2195</v>
      </c>
      <c r="T2187" s="1">
        <v>3</v>
      </c>
      <c r="U2187" s="1">
        <v>6</v>
      </c>
      <c r="V2187" s="1">
        <v>9</v>
      </c>
    </row>
    <row r="2188" spans="1:22" x14ac:dyDescent="0.2">
      <c r="A2188" s="1" t="s">
        <v>2110</v>
      </c>
      <c r="B2188" s="1" t="s">
        <v>2196</v>
      </c>
      <c r="T2188" s="1">
        <v>16</v>
      </c>
      <c r="U2188" s="1">
        <v>13</v>
      </c>
      <c r="V2188" s="1">
        <v>15</v>
      </c>
    </row>
    <row r="2189" spans="1:22" x14ac:dyDescent="0.2">
      <c r="A2189" s="1" t="s">
        <v>2110</v>
      </c>
      <c r="B2189" s="1" t="s">
        <v>2197</v>
      </c>
      <c r="V2189" s="1">
        <v>1</v>
      </c>
    </row>
    <row r="2190" spans="1:22" x14ac:dyDescent="0.2">
      <c r="A2190" s="1" t="s">
        <v>2110</v>
      </c>
      <c r="B2190" s="1" t="s">
        <v>2198</v>
      </c>
      <c r="T2190" s="1">
        <v>1</v>
      </c>
      <c r="U2190" s="1">
        <v>1</v>
      </c>
      <c r="V2190" s="1">
        <v>1</v>
      </c>
    </row>
    <row r="2191" spans="1:22" x14ac:dyDescent="0.2">
      <c r="A2191" s="1" t="s">
        <v>2110</v>
      </c>
      <c r="B2191" s="1" t="s">
        <v>2199</v>
      </c>
      <c r="T2191" s="1">
        <v>5</v>
      </c>
      <c r="U2191" s="1">
        <v>2</v>
      </c>
      <c r="V2191" s="1">
        <v>2</v>
      </c>
    </row>
    <row r="2192" spans="1:22" x14ac:dyDescent="0.2">
      <c r="A2192" s="1" t="s">
        <v>2110</v>
      </c>
      <c r="B2192" s="1" t="s">
        <v>2200</v>
      </c>
      <c r="U2192" s="1">
        <v>3</v>
      </c>
      <c r="V2192" s="1">
        <v>0</v>
      </c>
    </row>
    <row r="2193" spans="1:22" x14ac:dyDescent="0.2">
      <c r="A2193" s="1" t="s">
        <v>2110</v>
      </c>
      <c r="B2193" s="1" t="s">
        <v>2201</v>
      </c>
      <c r="T2193" s="1">
        <f>SUM(T2194:T2197)</f>
        <v>78</v>
      </c>
      <c r="U2193" s="1">
        <f>SUM(U2194:U2197)</f>
        <v>91</v>
      </c>
      <c r="V2193" s="1">
        <f>SUM(V2194:V2197)</f>
        <v>94</v>
      </c>
    </row>
    <row r="2194" spans="1:22" x14ac:dyDescent="0.2">
      <c r="A2194" s="1" t="s">
        <v>2110</v>
      </c>
      <c r="B2194" s="1" t="s">
        <v>2202</v>
      </c>
      <c r="T2194" s="1">
        <v>61</v>
      </c>
      <c r="U2194" s="1">
        <v>56</v>
      </c>
      <c r="V2194" s="1">
        <v>56</v>
      </c>
    </row>
    <row r="2195" spans="1:22" x14ac:dyDescent="0.2">
      <c r="A2195" s="1" t="s">
        <v>2110</v>
      </c>
      <c r="B2195" s="1" t="s">
        <v>2203</v>
      </c>
      <c r="T2195" s="1">
        <v>1</v>
      </c>
      <c r="U2195" s="1">
        <v>2</v>
      </c>
      <c r="V2195" s="1">
        <v>2</v>
      </c>
    </row>
    <row r="2196" spans="1:22" x14ac:dyDescent="0.2">
      <c r="A2196" s="1" t="s">
        <v>2110</v>
      </c>
      <c r="B2196" s="1" t="s">
        <v>2204</v>
      </c>
      <c r="U2196" s="1">
        <v>3</v>
      </c>
      <c r="V2196" s="1">
        <v>3</v>
      </c>
    </row>
    <row r="2197" spans="1:22" x14ac:dyDescent="0.2">
      <c r="A2197" s="1" t="s">
        <v>2110</v>
      </c>
      <c r="B2197" s="1" t="s">
        <v>2205</v>
      </c>
      <c r="T2197" s="1">
        <v>16</v>
      </c>
      <c r="U2197" s="1">
        <v>30</v>
      </c>
      <c r="V2197" s="1">
        <v>33</v>
      </c>
    </row>
    <row r="2198" spans="1:22" x14ac:dyDescent="0.2">
      <c r="A2198" s="1" t="s">
        <v>2110</v>
      </c>
      <c r="B2198" s="1" t="s">
        <v>2206</v>
      </c>
      <c r="T2198" s="1">
        <f>SUM(T2199:T2202)</f>
        <v>41</v>
      </c>
      <c r="U2198" s="1">
        <f>SUM(U2199:U2202)</f>
        <v>61</v>
      </c>
      <c r="V2198" s="1">
        <f>SUM(V2199:V2202)</f>
        <v>104</v>
      </c>
    </row>
    <row r="2199" spans="1:22" x14ac:dyDescent="0.2">
      <c r="A2199" s="1" t="s">
        <v>2110</v>
      </c>
      <c r="B2199" s="1" t="s">
        <v>2207</v>
      </c>
      <c r="U2199" s="1">
        <v>1</v>
      </c>
      <c r="V2199" s="1">
        <v>0</v>
      </c>
    </row>
    <row r="2200" spans="1:22" x14ac:dyDescent="0.2">
      <c r="A2200" s="1" t="s">
        <v>2110</v>
      </c>
      <c r="B2200" s="1" t="s">
        <v>2208</v>
      </c>
      <c r="U2200" s="1">
        <v>1</v>
      </c>
      <c r="V2200" s="1">
        <v>1</v>
      </c>
    </row>
    <row r="2201" spans="1:22" x14ac:dyDescent="0.2">
      <c r="A2201" s="1" t="s">
        <v>2110</v>
      </c>
      <c r="B2201" s="1" t="s">
        <v>2209</v>
      </c>
      <c r="T2201" s="1">
        <v>4</v>
      </c>
      <c r="V2201" s="1">
        <v>1</v>
      </c>
    </row>
    <row r="2202" spans="1:22" x14ac:dyDescent="0.2">
      <c r="A2202" s="1" t="s">
        <v>2110</v>
      </c>
      <c r="B2202" s="1" t="s">
        <v>2210</v>
      </c>
      <c r="T2202" s="1">
        <v>37</v>
      </c>
      <c r="U2202" s="1">
        <v>59</v>
      </c>
      <c r="V2202" s="1">
        <v>102</v>
      </c>
    </row>
    <row r="2203" spans="1:22" x14ac:dyDescent="0.2">
      <c r="A2203" s="1" t="s">
        <v>2110</v>
      </c>
      <c r="B2203" s="1" t="s">
        <v>2211</v>
      </c>
      <c r="T2203" s="1">
        <f>SUM(T2204:T2233)</f>
        <v>3844</v>
      </c>
      <c r="U2203" s="1">
        <f>SUM(U2204:U2233)</f>
        <v>4468</v>
      </c>
      <c r="V2203" s="1">
        <f>SUM(V2204:V2233)</f>
        <v>4277</v>
      </c>
    </row>
    <row r="2204" spans="1:22" x14ac:dyDescent="0.2">
      <c r="A2204" s="1" t="s">
        <v>2110</v>
      </c>
      <c r="B2204" s="1" t="s">
        <v>2212</v>
      </c>
      <c r="T2204" s="1">
        <v>34</v>
      </c>
      <c r="U2204" s="1">
        <v>53</v>
      </c>
      <c r="V2204" s="1">
        <v>55</v>
      </c>
    </row>
    <row r="2205" spans="1:22" x14ac:dyDescent="0.2">
      <c r="A2205" s="1" t="s">
        <v>2110</v>
      </c>
      <c r="B2205" s="1" t="s">
        <v>2213</v>
      </c>
      <c r="T2205" s="1">
        <v>3</v>
      </c>
      <c r="U2205" s="1">
        <v>5</v>
      </c>
      <c r="V2205" s="1">
        <v>3</v>
      </c>
    </row>
    <row r="2206" spans="1:22" x14ac:dyDescent="0.2">
      <c r="A2206" s="1" t="s">
        <v>2110</v>
      </c>
      <c r="B2206" s="1" t="s">
        <v>2214</v>
      </c>
      <c r="T2206" s="1">
        <v>46</v>
      </c>
      <c r="U2206" s="1">
        <v>82</v>
      </c>
      <c r="V2206" s="1">
        <v>68</v>
      </c>
    </row>
    <row r="2207" spans="1:22" x14ac:dyDescent="0.2">
      <c r="A2207" s="1" t="s">
        <v>2110</v>
      </c>
      <c r="B2207" s="1" t="s">
        <v>2215</v>
      </c>
      <c r="T2207" s="1">
        <v>46</v>
      </c>
      <c r="U2207" s="1">
        <v>88</v>
      </c>
      <c r="V2207" s="1">
        <v>92</v>
      </c>
    </row>
    <row r="2208" spans="1:22" x14ac:dyDescent="0.2">
      <c r="A2208" s="1" t="s">
        <v>2110</v>
      </c>
      <c r="B2208" s="1" t="s">
        <v>2216</v>
      </c>
      <c r="T2208" s="1">
        <v>198</v>
      </c>
      <c r="U2208" s="1">
        <v>234</v>
      </c>
      <c r="V2208" s="1">
        <v>248</v>
      </c>
    </row>
    <row r="2209" spans="1:22" x14ac:dyDescent="0.2">
      <c r="A2209" s="1" t="s">
        <v>2110</v>
      </c>
      <c r="B2209" s="1" t="s">
        <v>2217</v>
      </c>
      <c r="T2209" s="1">
        <v>114</v>
      </c>
      <c r="U2209" s="1">
        <v>131</v>
      </c>
      <c r="V2209" s="1">
        <v>136</v>
      </c>
    </row>
    <row r="2210" spans="1:22" x14ac:dyDescent="0.2">
      <c r="A2210" s="1" t="s">
        <v>2110</v>
      </c>
      <c r="B2210" s="1" t="s">
        <v>2218</v>
      </c>
      <c r="T2210" s="1">
        <v>1</v>
      </c>
      <c r="U2210" s="1">
        <v>0</v>
      </c>
      <c r="V2210" s="1">
        <v>0</v>
      </c>
    </row>
    <row r="2211" spans="1:22" x14ac:dyDescent="0.2">
      <c r="A2211" s="1" t="s">
        <v>2110</v>
      </c>
      <c r="B2211" s="1" t="s">
        <v>2219</v>
      </c>
      <c r="U2211" s="1">
        <v>2</v>
      </c>
      <c r="V2211" s="1">
        <v>0</v>
      </c>
    </row>
    <row r="2212" spans="1:22" x14ac:dyDescent="0.2">
      <c r="A2212" s="1" t="s">
        <v>2110</v>
      </c>
      <c r="B2212" s="1" t="s">
        <v>2220</v>
      </c>
      <c r="T2212" s="1">
        <v>5</v>
      </c>
      <c r="U2212" s="1">
        <v>2</v>
      </c>
      <c r="V2212" s="1">
        <v>2</v>
      </c>
    </row>
    <row r="2213" spans="1:22" x14ac:dyDescent="0.2">
      <c r="A2213" s="1" t="s">
        <v>2110</v>
      </c>
      <c r="B2213" s="1" t="s">
        <v>2221</v>
      </c>
      <c r="T2213" s="1">
        <v>19</v>
      </c>
      <c r="U2213" s="1">
        <v>18</v>
      </c>
      <c r="V2213" s="1">
        <v>8</v>
      </c>
    </row>
    <row r="2214" spans="1:22" x14ac:dyDescent="0.2">
      <c r="A2214" s="1" t="s">
        <v>2110</v>
      </c>
      <c r="B2214" s="1" t="s">
        <v>2222</v>
      </c>
      <c r="T2214" s="1">
        <v>7</v>
      </c>
      <c r="U2214" s="1">
        <v>19</v>
      </c>
      <c r="V2214" s="1">
        <v>11</v>
      </c>
    </row>
    <row r="2215" spans="1:22" x14ac:dyDescent="0.2">
      <c r="A2215" s="1" t="s">
        <v>2110</v>
      </c>
      <c r="B2215" s="1" t="s">
        <v>2223</v>
      </c>
      <c r="T2215" s="1">
        <v>7</v>
      </c>
      <c r="U2215" s="1">
        <v>3</v>
      </c>
      <c r="V2215" s="1">
        <v>4</v>
      </c>
    </row>
    <row r="2216" spans="1:22" x14ac:dyDescent="0.2">
      <c r="A2216" s="1" t="s">
        <v>2110</v>
      </c>
      <c r="B2216" s="1" t="s">
        <v>2224</v>
      </c>
      <c r="T2216" s="1">
        <v>20</v>
      </c>
      <c r="U2216" s="1">
        <v>7</v>
      </c>
      <c r="V2216" s="1">
        <v>5</v>
      </c>
    </row>
    <row r="2217" spans="1:22" x14ac:dyDescent="0.2">
      <c r="A2217" s="1" t="s">
        <v>2110</v>
      </c>
      <c r="B2217" s="1" t="s">
        <v>2225</v>
      </c>
      <c r="T2217" s="1">
        <v>261</v>
      </c>
      <c r="U2217" s="1">
        <v>325</v>
      </c>
      <c r="V2217" s="1">
        <v>282</v>
      </c>
    </row>
    <row r="2218" spans="1:22" x14ac:dyDescent="0.2">
      <c r="A2218" s="1" t="s">
        <v>2110</v>
      </c>
      <c r="B2218" s="1" t="s">
        <v>2226</v>
      </c>
      <c r="T2218" s="1">
        <v>3</v>
      </c>
      <c r="V2218" s="1">
        <v>29</v>
      </c>
    </row>
    <row r="2219" spans="1:22" x14ac:dyDescent="0.2">
      <c r="A2219" s="1" t="s">
        <v>2110</v>
      </c>
      <c r="B2219" s="1" t="s">
        <v>2227</v>
      </c>
      <c r="T2219" s="1">
        <v>4</v>
      </c>
      <c r="V2219" s="1">
        <v>0</v>
      </c>
    </row>
    <row r="2220" spans="1:22" x14ac:dyDescent="0.2">
      <c r="A2220" s="1" t="s">
        <v>2110</v>
      </c>
      <c r="B2220" s="1" t="s">
        <v>2228</v>
      </c>
      <c r="U2220" s="1">
        <v>2</v>
      </c>
      <c r="V2220" s="1">
        <v>0</v>
      </c>
    </row>
    <row r="2221" spans="1:22" x14ac:dyDescent="0.2">
      <c r="A2221" s="1" t="s">
        <v>2110</v>
      </c>
      <c r="B2221" s="1" t="s">
        <v>2229</v>
      </c>
      <c r="U2221" s="1">
        <v>1</v>
      </c>
      <c r="V2221" s="1">
        <v>1</v>
      </c>
    </row>
    <row r="2222" spans="1:22" x14ac:dyDescent="0.2">
      <c r="A2222" s="1" t="s">
        <v>2110</v>
      </c>
      <c r="B2222" s="1" t="s">
        <v>2230</v>
      </c>
      <c r="T2222" s="1">
        <v>499</v>
      </c>
      <c r="U2222" s="1">
        <v>524</v>
      </c>
      <c r="V2222" s="1">
        <v>553</v>
      </c>
    </row>
    <row r="2223" spans="1:22" x14ac:dyDescent="0.2">
      <c r="A2223" s="1" t="s">
        <v>2110</v>
      </c>
      <c r="B2223" s="1" t="s">
        <v>2231</v>
      </c>
      <c r="T2223" s="1">
        <v>36</v>
      </c>
      <c r="U2223" s="1">
        <v>72</v>
      </c>
      <c r="V2223" s="1">
        <v>82</v>
      </c>
    </row>
    <row r="2224" spans="1:22" x14ac:dyDescent="0.2">
      <c r="A2224" s="1" t="s">
        <v>2110</v>
      </c>
      <c r="B2224" s="1" t="s">
        <v>2232</v>
      </c>
      <c r="T2224" s="1">
        <v>1930</v>
      </c>
      <c r="U2224" s="1">
        <v>2106</v>
      </c>
      <c r="V2224" s="1">
        <v>1855</v>
      </c>
    </row>
    <row r="2225" spans="1:22" x14ac:dyDescent="0.2">
      <c r="A2225" s="1" t="s">
        <v>2110</v>
      </c>
      <c r="B2225" s="1" t="s">
        <v>2233</v>
      </c>
      <c r="T2225" s="1">
        <v>96</v>
      </c>
      <c r="U2225" s="1">
        <v>136</v>
      </c>
      <c r="V2225" s="1">
        <v>135</v>
      </c>
    </row>
    <row r="2226" spans="1:22" x14ac:dyDescent="0.2">
      <c r="A2226" s="1" t="s">
        <v>2110</v>
      </c>
      <c r="B2226" s="1" t="s">
        <v>2234</v>
      </c>
      <c r="T2226" s="1">
        <v>454</v>
      </c>
      <c r="U2226" s="1">
        <v>587</v>
      </c>
      <c r="V2226" s="1">
        <v>622</v>
      </c>
    </row>
    <row r="2227" spans="1:22" x14ac:dyDescent="0.2">
      <c r="A2227" s="1" t="s">
        <v>2110</v>
      </c>
      <c r="B2227" s="1" t="s">
        <v>2235</v>
      </c>
      <c r="T2227" s="1">
        <v>9</v>
      </c>
      <c r="U2227" s="1">
        <v>12</v>
      </c>
      <c r="V2227" s="1">
        <v>29</v>
      </c>
    </row>
    <row r="2228" spans="1:22" x14ac:dyDescent="0.2">
      <c r="A2228" s="1" t="s">
        <v>2110</v>
      </c>
      <c r="B2228" s="1" t="s">
        <v>2236</v>
      </c>
      <c r="U2228" s="1">
        <v>5</v>
      </c>
      <c r="V2228" s="1">
        <v>1</v>
      </c>
    </row>
    <row r="2229" spans="1:22" x14ac:dyDescent="0.2">
      <c r="A2229" s="1" t="s">
        <v>2110</v>
      </c>
      <c r="B2229" s="1" t="s">
        <v>2236</v>
      </c>
      <c r="V2229" s="1">
        <v>1</v>
      </c>
    </row>
    <row r="2230" spans="1:22" x14ac:dyDescent="0.2">
      <c r="A2230" s="1" t="s">
        <v>2110</v>
      </c>
      <c r="B2230" s="1" t="s">
        <v>2237</v>
      </c>
      <c r="U2230" s="1">
        <v>15</v>
      </c>
      <c r="V2230" s="1">
        <v>0</v>
      </c>
    </row>
    <row r="2231" spans="1:22" x14ac:dyDescent="0.2">
      <c r="A2231" s="1" t="s">
        <v>2110</v>
      </c>
      <c r="B2231" s="1" t="s">
        <v>2238</v>
      </c>
      <c r="T2231" s="1">
        <v>49</v>
      </c>
      <c r="U2231" s="1">
        <v>30</v>
      </c>
      <c r="V2231" s="1">
        <v>53</v>
      </c>
    </row>
    <row r="2232" spans="1:22" x14ac:dyDescent="0.2">
      <c r="A2232" s="1" t="s">
        <v>2110</v>
      </c>
      <c r="B2232" s="1" t="s">
        <v>2239</v>
      </c>
      <c r="T2232" s="1">
        <v>1</v>
      </c>
      <c r="U2232" s="1">
        <v>3</v>
      </c>
      <c r="V2232" s="1">
        <v>0</v>
      </c>
    </row>
    <row r="2233" spans="1:22" x14ac:dyDescent="0.2">
      <c r="A2233" s="1" t="s">
        <v>2110</v>
      </c>
      <c r="B2233" s="1" t="s">
        <v>2240</v>
      </c>
      <c r="T2233" s="1">
        <v>2</v>
      </c>
      <c r="U2233" s="1">
        <v>6</v>
      </c>
      <c r="V2233" s="1">
        <v>2</v>
      </c>
    </row>
    <row r="2234" spans="1:22" x14ac:dyDescent="0.2">
      <c r="A2234" s="1" t="s">
        <v>2110</v>
      </c>
      <c r="B2234" s="1" t="s">
        <v>2241</v>
      </c>
      <c r="T2234" s="1">
        <f>SUM(T2235:T2240)</f>
        <v>3</v>
      </c>
      <c r="U2234" s="1">
        <f>SUM(U2235:U2240)</f>
        <v>9</v>
      </c>
      <c r="V2234" s="1">
        <f>SUM(V2235:V2240)</f>
        <v>10</v>
      </c>
    </row>
    <row r="2235" spans="1:22" x14ac:dyDescent="0.2">
      <c r="A2235" s="1" t="s">
        <v>2110</v>
      </c>
      <c r="B2235" s="1" t="s">
        <v>2242</v>
      </c>
      <c r="T2235" s="1">
        <v>3</v>
      </c>
      <c r="U2235" s="1">
        <v>2</v>
      </c>
      <c r="V2235" s="1">
        <v>2</v>
      </c>
    </row>
    <row r="2236" spans="1:22" x14ac:dyDescent="0.2">
      <c r="A2236" s="1" t="s">
        <v>2110</v>
      </c>
      <c r="B2236" s="1" t="s">
        <v>2243</v>
      </c>
      <c r="V2236" s="1">
        <v>1</v>
      </c>
    </row>
    <row r="2237" spans="1:22" x14ac:dyDescent="0.2">
      <c r="A2237" s="1" t="s">
        <v>2110</v>
      </c>
      <c r="B2237" s="1" t="s">
        <v>2244</v>
      </c>
      <c r="U2237" s="1">
        <v>1</v>
      </c>
      <c r="V2237" s="1">
        <v>0</v>
      </c>
    </row>
    <row r="2238" spans="1:22" x14ac:dyDescent="0.2">
      <c r="A2238" s="1" t="s">
        <v>2110</v>
      </c>
      <c r="B2238" s="1" t="s">
        <v>2245</v>
      </c>
      <c r="U2238" s="1">
        <v>3</v>
      </c>
      <c r="V2238" s="1">
        <v>7</v>
      </c>
    </row>
    <row r="2239" spans="1:22" x14ac:dyDescent="0.2">
      <c r="A2239" s="1" t="s">
        <v>2110</v>
      </c>
      <c r="B2239" s="1" t="s">
        <v>2246</v>
      </c>
      <c r="U2239" s="1">
        <v>1</v>
      </c>
      <c r="V2239" s="1">
        <v>0</v>
      </c>
    </row>
    <row r="2240" spans="1:22" x14ac:dyDescent="0.2">
      <c r="A2240" s="1" t="s">
        <v>2110</v>
      </c>
      <c r="B2240" s="1" t="s">
        <v>2247</v>
      </c>
      <c r="U2240" s="1">
        <v>2</v>
      </c>
      <c r="V2240" s="1">
        <v>0</v>
      </c>
    </row>
    <row r="2241" spans="1:22" x14ac:dyDescent="0.2">
      <c r="A2241" s="1" t="s">
        <v>2110</v>
      </c>
      <c r="B2241" s="1" t="s">
        <v>2248</v>
      </c>
      <c r="T2241" s="1">
        <f>SUM(T2242:T2246)</f>
        <v>15</v>
      </c>
      <c r="U2241" s="1">
        <f>SUM(U2242:U2246)</f>
        <v>20</v>
      </c>
      <c r="V2241" s="1">
        <f>SUM(V2242:V2246)</f>
        <v>20</v>
      </c>
    </row>
    <row r="2242" spans="1:22" x14ac:dyDescent="0.2">
      <c r="A2242" s="1" t="s">
        <v>2110</v>
      </c>
      <c r="B2242" s="1" t="s">
        <v>2249</v>
      </c>
      <c r="T2242" s="1">
        <v>7</v>
      </c>
      <c r="U2242" s="1">
        <v>12</v>
      </c>
      <c r="V2242" s="1">
        <v>11</v>
      </c>
    </row>
    <row r="2243" spans="1:22" x14ac:dyDescent="0.2">
      <c r="A2243" s="1" t="s">
        <v>2110</v>
      </c>
      <c r="B2243" s="1" t="s">
        <v>2250</v>
      </c>
      <c r="T2243" s="1">
        <v>1</v>
      </c>
      <c r="U2243" s="1">
        <v>0</v>
      </c>
      <c r="V2243" s="1">
        <v>0</v>
      </c>
    </row>
    <row r="2244" spans="1:22" x14ac:dyDescent="0.2">
      <c r="A2244" s="1" t="s">
        <v>2110</v>
      </c>
      <c r="B2244" s="1" t="s">
        <v>2251</v>
      </c>
      <c r="T2244" s="1">
        <v>5</v>
      </c>
      <c r="U2244" s="1">
        <v>6</v>
      </c>
      <c r="V2244" s="1">
        <v>7</v>
      </c>
    </row>
    <row r="2245" spans="1:22" x14ac:dyDescent="0.2">
      <c r="A2245" s="1" t="s">
        <v>2110</v>
      </c>
      <c r="B2245" s="1" t="s">
        <v>2252</v>
      </c>
      <c r="T2245" s="1">
        <v>2</v>
      </c>
      <c r="U2245" s="1">
        <v>1</v>
      </c>
      <c r="V2245" s="1">
        <v>2</v>
      </c>
    </row>
    <row r="2246" spans="1:22" x14ac:dyDescent="0.2">
      <c r="A2246" s="1" t="s">
        <v>2110</v>
      </c>
      <c r="B2246" s="1" t="s">
        <v>2253</v>
      </c>
      <c r="U2246" s="1">
        <v>1</v>
      </c>
      <c r="V2246" s="1">
        <v>0</v>
      </c>
    </row>
    <row r="2247" spans="1:22" x14ac:dyDescent="0.2">
      <c r="A2247" s="1" t="s">
        <v>2110</v>
      </c>
      <c r="B2247" s="1" t="s">
        <v>2254</v>
      </c>
      <c r="T2247" s="1">
        <f>SUM(T2248)</f>
        <v>1</v>
      </c>
      <c r="U2247" s="1">
        <f>SUM(U2248)</f>
        <v>4</v>
      </c>
      <c r="V2247" s="1">
        <f>SUM(V2248)</f>
        <v>1</v>
      </c>
    </row>
    <row r="2248" spans="1:22" x14ac:dyDescent="0.2">
      <c r="A2248" s="1" t="s">
        <v>2110</v>
      </c>
      <c r="B2248" s="1" t="s">
        <v>2255</v>
      </c>
      <c r="T2248" s="1">
        <v>1</v>
      </c>
      <c r="U2248" s="1">
        <v>4</v>
      </c>
      <c r="V2248" s="1">
        <v>1</v>
      </c>
    </row>
    <row r="2249" spans="1:22" x14ac:dyDescent="0.2">
      <c r="A2249" s="1" t="s">
        <v>2110</v>
      </c>
      <c r="B2249" s="1" t="s">
        <v>2256</v>
      </c>
      <c r="T2249" s="1">
        <f>SUM(T2250:T2262)</f>
        <v>443</v>
      </c>
      <c r="U2249" s="1">
        <f>SUM(U2250:U2262)</f>
        <v>624</v>
      </c>
      <c r="V2249" s="1">
        <f>SUM(V2250:V2262)</f>
        <v>689</v>
      </c>
    </row>
    <row r="2250" spans="1:22" x14ac:dyDescent="0.2">
      <c r="A2250" s="1" t="s">
        <v>2110</v>
      </c>
      <c r="B2250" s="1" t="s">
        <v>2257</v>
      </c>
      <c r="T2250" s="1">
        <v>47</v>
      </c>
      <c r="U2250" s="1">
        <v>87</v>
      </c>
      <c r="V2250" s="1">
        <v>74</v>
      </c>
    </row>
    <row r="2251" spans="1:22" x14ac:dyDescent="0.2">
      <c r="A2251" s="1" t="s">
        <v>2110</v>
      </c>
      <c r="B2251" s="1" t="s">
        <v>2258</v>
      </c>
      <c r="U2251" s="1">
        <v>3</v>
      </c>
      <c r="V2251" s="1">
        <v>3</v>
      </c>
    </row>
    <row r="2252" spans="1:22" x14ac:dyDescent="0.2">
      <c r="A2252" s="1" t="s">
        <v>2110</v>
      </c>
      <c r="B2252" s="1" t="s">
        <v>2259</v>
      </c>
      <c r="T2252" s="1">
        <v>183</v>
      </c>
      <c r="U2252" s="1">
        <v>254</v>
      </c>
      <c r="V2252" s="1">
        <v>306</v>
      </c>
    </row>
    <row r="2253" spans="1:22" x14ac:dyDescent="0.2">
      <c r="A2253" s="1" t="s">
        <v>2110</v>
      </c>
      <c r="B2253" s="1" t="s">
        <v>2260</v>
      </c>
      <c r="U2253" s="1">
        <v>8</v>
      </c>
      <c r="V2253" s="1">
        <v>9</v>
      </c>
    </row>
    <row r="2254" spans="1:22" x14ac:dyDescent="0.2">
      <c r="A2254" s="1" t="s">
        <v>2110</v>
      </c>
      <c r="B2254" s="1" t="s">
        <v>2261</v>
      </c>
      <c r="T2254" s="1">
        <v>1</v>
      </c>
      <c r="V2254" s="1">
        <v>0</v>
      </c>
    </row>
    <row r="2255" spans="1:22" x14ac:dyDescent="0.2">
      <c r="A2255" s="1" t="s">
        <v>2110</v>
      </c>
      <c r="B2255" s="1" t="s">
        <v>2262</v>
      </c>
      <c r="U2255" s="1">
        <v>1</v>
      </c>
      <c r="V2255" s="1">
        <v>0</v>
      </c>
    </row>
    <row r="2256" spans="1:22" x14ac:dyDescent="0.2">
      <c r="A2256" s="1" t="s">
        <v>2110</v>
      </c>
      <c r="B2256" s="1" t="s">
        <v>2263</v>
      </c>
      <c r="T2256" s="1">
        <v>1</v>
      </c>
      <c r="U2256" s="1">
        <v>3</v>
      </c>
      <c r="V2256" s="1">
        <v>4</v>
      </c>
    </row>
    <row r="2257" spans="1:22" x14ac:dyDescent="0.2">
      <c r="A2257" s="1" t="s">
        <v>2110</v>
      </c>
      <c r="B2257" s="1" t="s">
        <v>2264</v>
      </c>
      <c r="T2257" s="1">
        <v>171</v>
      </c>
      <c r="U2257" s="1">
        <v>168</v>
      </c>
      <c r="V2257" s="1">
        <v>129</v>
      </c>
    </row>
    <row r="2258" spans="1:22" x14ac:dyDescent="0.2">
      <c r="A2258" s="1" t="s">
        <v>2110</v>
      </c>
      <c r="B2258" s="1" t="s">
        <v>2265</v>
      </c>
      <c r="T2258" s="1">
        <v>35</v>
      </c>
      <c r="U2258" s="1">
        <v>93</v>
      </c>
      <c r="V2258" s="1">
        <v>156</v>
      </c>
    </row>
    <row r="2259" spans="1:22" x14ac:dyDescent="0.2">
      <c r="A2259" s="1" t="s">
        <v>2110</v>
      </c>
      <c r="B2259" s="1" t="s">
        <v>2266</v>
      </c>
      <c r="T2259" s="1">
        <v>1</v>
      </c>
      <c r="V2259" s="1">
        <v>1</v>
      </c>
    </row>
    <row r="2260" spans="1:22" x14ac:dyDescent="0.2">
      <c r="A2260" s="1" t="s">
        <v>2110</v>
      </c>
      <c r="B2260" s="1" t="s">
        <v>2267</v>
      </c>
      <c r="T2260" s="1">
        <v>1</v>
      </c>
      <c r="U2260" s="1">
        <v>4</v>
      </c>
      <c r="V2260" s="1">
        <v>2</v>
      </c>
    </row>
    <row r="2261" spans="1:22" x14ac:dyDescent="0.2">
      <c r="A2261" s="1" t="s">
        <v>2110</v>
      </c>
      <c r="B2261" s="1" t="s">
        <v>2268</v>
      </c>
      <c r="V2261" s="1">
        <v>1</v>
      </c>
    </row>
    <row r="2262" spans="1:22" x14ac:dyDescent="0.2">
      <c r="A2262" s="1" t="s">
        <v>2110</v>
      </c>
      <c r="B2262" s="1" t="s">
        <v>2269</v>
      </c>
      <c r="T2262" s="1">
        <v>3</v>
      </c>
      <c r="U2262" s="1">
        <v>3</v>
      </c>
      <c r="V2262" s="1">
        <v>4</v>
      </c>
    </row>
    <row r="2263" spans="1:22" x14ac:dyDescent="0.2">
      <c r="A2263" s="1" t="s">
        <v>2110</v>
      </c>
      <c r="B2263" s="1" t="s">
        <v>2270</v>
      </c>
      <c r="T2263" s="1">
        <f>SUM(T2264:T2274)</f>
        <v>75</v>
      </c>
      <c r="U2263" s="1">
        <f>SUM(U2264:U2274)</f>
        <v>123</v>
      </c>
      <c r="V2263" s="1">
        <f>SUM(V2264:V2274)</f>
        <v>100</v>
      </c>
    </row>
    <row r="2264" spans="1:22" x14ac:dyDescent="0.2">
      <c r="A2264" s="1" t="s">
        <v>2110</v>
      </c>
      <c r="B2264" s="1" t="s">
        <v>2271</v>
      </c>
      <c r="T2264" s="1">
        <v>1</v>
      </c>
      <c r="U2264" s="1">
        <v>0</v>
      </c>
      <c r="V2264" s="1">
        <v>5</v>
      </c>
    </row>
    <row r="2265" spans="1:22" x14ac:dyDescent="0.2">
      <c r="A2265" s="1" t="s">
        <v>2110</v>
      </c>
      <c r="B2265" s="1" t="s">
        <v>2272</v>
      </c>
      <c r="T2265" s="1">
        <v>3</v>
      </c>
      <c r="U2265" s="1">
        <v>11</v>
      </c>
      <c r="V2265" s="1">
        <v>10</v>
      </c>
    </row>
    <row r="2266" spans="1:22" x14ac:dyDescent="0.2">
      <c r="A2266" s="1" t="s">
        <v>2110</v>
      </c>
      <c r="B2266" s="1" t="s">
        <v>2273</v>
      </c>
      <c r="V2266" s="1">
        <v>1</v>
      </c>
    </row>
    <row r="2267" spans="1:22" x14ac:dyDescent="0.2">
      <c r="A2267" s="1" t="s">
        <v>2110</v>
      </c>
      <c r="B2267" s="1" t="s">
        <v>2274</v>
      </c>
      <c r="T2267" s="1">
        <v>2</v>
      </c>
      <c r="U2267" s="1">
        <v>5</v>
      </c>
      <c r="V2267" s="1">
        <v>2</v>
      </c>
    </row>
    <row r="2268" spans="1:22" x14ac:dyDescent="0.2">
      <c r="A2268" s="1" t="s">
        <v>2110</v>
      </c>
      <c r="B2268" s="1" t="s">
        <v>2275</v>
      </c>
      <c r="T2268" s="1">
        <v>2</v>
      </c>
      <c r="U2268" s="1">
        <v>1</v>
      </c>
      <c r="V2268" s="1">
        <v>2</v>
      </c>
    </row>
    <row r="2269" spans="1:22" x14ac:dyDescent="0.2">
      <c r="A2269" s="1" t="s">
        <v>2110</v>
      </c>
      <c r="B2269" s="1" t="s">
        <v>2276</v>
      </c>
      <c r="T2269" s="1">
        <v>2</v>
      </c>
      <c r="U2269" s="1">
        <v>3</v>
      </c>
      <c r="V2269" s="1">
        <v>4</v>
      </c>
    </row>
    <row r="2270" spans="1:22" x14ac:dyDescent="0.2">
      <c r="A2270" s="1" t="s">
        <v>2110</v>
      </c>
      <c r="B2270" s="1" t="s">
        <v>2277</v>
      </c>
      <c r="T2270" s="1">
        <v>1</v>
      </c>
      <c r="U2270" s="1">
        <v>1</v>
      </c>
      <c r="V2270" s="1">
        <v>0</v>
      </c>
    </row>
    <row r="2271" spans="1:22" x14ac:dyDescent="0.2">
      <c r="A2271" s="1" t="s">
        <v>2110</v>
      </c>
      <c r="B2271" s="1" t="s">
        <v>2278</v>
      </c>
      <c r="T2271" s="1">
        <v>39</v>
      </c>
      <c r="U2271" s="1">
        <v>55</v>
      </c>
      <c r="V2271" s="1">
        <v>31</v>
      </c>
    </row>
    <row r="2272" spans="1:22" x14ac:dyDescent="0.2">
      <c r="A2272" s="1" t="s">
        <v>2110</v>
      </c>
      <c r="B2272" s="1" t="s">
        <v>2279</v>
      </c>
      <c r="T2272" s="1">
        <v>5</v>
      </c>
      <c r="U2272" s="1">
        <v>10</v>
      </c>
      <c r="V2272" s="1">
        <v>11</v>
      </c>
    </row>
    <row r="2273" spans="1:22" x14ac:dyDescent="0.2">
      <c r="A2273" s="1" t="s">
        <v>2110</v>
      </c>
      <c r="B2273" s="1" t="s">
        <v>2280</v>
      </c>
      <c r="V2273" s="1">
        <v>1</v>
      </c>
    </row>
    <row r="2274" spans="1:22" x14ac:dyDescent="0.2">
      <c r="A2274" s="1" t="s">
        <v>2110</v>
      </c>
      <c r="B2274" s="1" t="s">
        <v>2281</v>
      </c>
      <c r="T2274" s="1">
        <v>20</v>
      </c>
      <c r="U2274" s="1">
        <v>37</v>
      </c>
      <c r="V2274" s="1">
        <v>33</v>
      </c>
    </row>
    <row r="2275" spans="1:22" x14ac:dyDescent="0.2">
      <c r="A2275" s="1" t="s">
        <v>2110</v>
      </c>
      <c r="B2275" s="1" t="s">
        <v>2282</v>
      </c>
      <c r="T2275" s="1">
        <f>SUM(T2276:T2284)</f>
        <v>19</v>
      </c>
      <c r="U2275" s="1">
        <f>SUM(U2276:U2284)</f>
        <v>35</v>
      </c>
      <c r="V2275" s="1">
        <f>SUM(V2276:V2284)</f>
        <v>54</v>
      </c>
    </row>
    <row r="2276" spans="1:22" x14ac:dyDescent="0.2">
      <c r="A2276" s="1" t="s">
        <v>2110</v>
      </c>
      <c r="B2276" s="1" t="s">
        <v>2283</v>
      </c>
      <c r="T2276" s="1">
        <v>4</v>
      </c>
      <c r="U2276" s="1">
        <v>7</v>
      </c>
      <c r="V2276" s="1">
        <v>14</v>
      </c>
    </row>
    <row r="2277" spans="1:22" x14ac:dyDescent="0.2">
      <c r="A2277" s="1" t="s">
        <v>2110</v>
      </c>
      <c r="B2277" s="1" t="s">
        <v>2284</v>
      </c>
      <c r="T2277" s="1">
        <v>1</v>
      </c>
      <c r="U2277" s="1">
        <v>2</v>
      </c>
      <c r="V2277" s="1">
        <v>0</v>
      </c>
    </row>
    <row r="2278" spans="1:22" x14ac:dyDescent="0.2">
      <c r="A2278" s="1" t="s">
        <v>2110</v>
      </c>
      <c r="B2278" s="1" t="s">
        <v>2285</v>
      </c>
      <c r="T2278" s="1">
        <v>1</v>
      </c>
      <c r="U2278" s="1">
        <v>3</v>
      </c>
      <c r="V2278" s="1">
        <v>9</v>
      </c>
    </row>
    <row r="2279" spans="1:22" x14ac:dyDescent="0.2">
      <c r="A2279" s="1" t="s">
        <v>2110</v>
      </c>
      <c r="B2279" s="1" t="s">
        <v>2286</v>
      </c>
      <c r="U2279" s="1">
        <v>1</v>
      </c>
      <c r="V2279" s="1">
        <v>0</v>
      </c>
    </row>
    <row r="2280" spans="1:22" x14ac:dyDescent="0.2">
      <c r="A2280" s="1" t="s">
        <v>2110</v>
      </c>
      <c r="B2280" s="1" t="s">
        <v>2287</v>
      </c>
      <c r="T2280" s="1">
        <v>3</v>
      </c>
      <c r="U2280" s="1">
        <v>8</v>
      </c>
      <c r="V2280" s="1">
        <v>21</v>
      </c>
    </row>
    <row r="2281" spans="1:22" x14ac:dyDescent="0.2">
      <c r="A2281" s="1" t="s">
        <v>2110</v>
      </c>
      <c r="B2281" s="1" t="s">
        <v>2288</v>
      </c>
      <c r="T2281" s="1">
        <v>1</v>
      </c>
      <c r="V2281" s="1">
        <v>3</v>
      </c>
    </row>
    <row r="2282" spans="1:22" x14ac:dyDescent="0.2">
      <c r="A2282" s="1" t="s">
        <v>2110</v>
      </c>
      <c r="B2282" s="1" t="s">
        <v>2289</v>
      </c>
      <c r="T2282" s="1">
        <v>2</v>
      </c>
      <c r="V2282" s="1">
        <v>0</v>
      </c>
    </row>
    <row r="2283" spans="1:22" x14ac:dyDescent="0.2">
      <c r="A2283" s="1" t="s">
        <v>2110</v>
      </c>
      <c r="B2283" s="1" t="s">
        <v>2290</v>
      </c>
      <c r="V2283" s="1">
        <v>1</v>
      </c>
    </row>
    <row r="2284" spans="1:22" x14ac:dyDescent="0.2">
      <c r="A2284" s="1" t="s">
        <v>2110</v>
      </c>
      <c r="B2284" s="1" t="s">
        <v>2291</v>
      </c>
      <c r="T2284" s="1">
        <v>7</v>
      </c>
      <c r="U2284" s="1">
        <v>14</v>
      </c>
      <c r="V2284" s="1">
        <v>6</v>
      </c>
    </row>
    <row r="2285" spans="1:22" x14ac:dyDescent="0.2">
      <c r="A2285" s="1" t="s">
        <v>2110</v>
      </c>
      <c r="B2285" s="1" t="s">
        <v>2292</v>
      </c>
      <c r="T2285" s="1">
        <f>SUM(T2286:T2294)</f>
        <v>145</v>
      </c>
      <c r="U2285" s="1">
        <f>SUM(U2286:U2294)</f>
        <v>220</v>
      </c>
      <c r="V2285" s="1">
        <f>SUM(V2286:V2294)</f>
        <v>154</v>
      </c>
    </row>
    <row r="2286" spans="1:22" x14ac:dyDescent="0.2">
      <c r="A2286" s="1" t="s">
        <v>2110</v>
      </c>
      <c r="B2286" s="1" t="s">
        <v>2293</v>
      </c>
      <c r="U2286" s="1">
        <v>1</v>
      </c>
      <c r="V2286" s="1">
        <v>0</v>
      </c>
    </row>
    <row r="2287" spans="1:22" x14ac:dyDescent="0.2">
      <c r="A2287" s="1" t="s">
        <v>2110</v>
      </c>
      <c r="B2287" s="1" t="s">
        <v>2294</v>
      </c>
      <c r="T2287" s="1">
        <v>44</v>
      </c>
      <c r="U2287" s="1">
        <v>112</v>
      </c>
      <c r="V2287" s="1">
        <v>90</v>
      </c>
    </row>
    <row r="2288" spans="1:22" x14ac:dyDescent="0.2">
      <c r="A2288" s="1" t="s">
        <v>2110</v>
      </c>
      <c r="B2288" s="1" t="s">
        <v>2295</v>
      </c>
      <c r="T2288" s="1">
        <v>1</v>
      </c>
      <c r="U2288" s="1">
        <v>2</v>
      </c>
      <c r="V2288" s="1">
        <v>3</v>
      </c>
    </row>
    <row r="2289" spans="1:22" x14ac:dyDescent="0.2">
      <c r="A2289" s="1" t="s">
        <v>2110</v>
      </c>
      <c r="B2289" s="1" t="s">
        <v>2296</v>
      </c>
      <c r="T2289" s="1">
        <v>12</v>
      </c>
      <c r="U2289" s="1">
        <v>17</v>
      </c>
      <c r="V2289" s="1">
        <v>4</v>
      </c>
    </row>
    <row r="2290" spans="1:22" x14ac:dyDescent="0.2">
      <c r="A2290" s="1" t="s">
        <v>2110</v>
      </c>
      <c r="B2290" s="1" t="s">
        <v>2297</v>
      </c>
      <c r="T2290" s="1">
        <v>2</v>
      </c>
      <c r="U2290" s="1">
        <v>3</v>
      </c>
      <c r="V2290" s="1">
        <v>2</v>
      </c>
    </row>
    <row r="2291" spans="1:22" x14ac:dyDescent="0.2">
      <c r="A2291" s="1" t="s">
        <v>2110</v>
      </c>
      <c r="B2291" s="1" t="s">
        <v>2298</v>
      </c>
      <c r="T2291" s="1">
        <v>1</v>
      </c>
      <c r="U2291" s="1">
        <v>1</v>
      </c>
      <c r="V2291" s="1">
        <v>1</v>
      </c>
    </row>
    <row r="2292" spans="1:22" x14ac:dyDescent="0.2">
      <c r="A2292" s="1" t="s">
        <v>2110</v>
      </c>
      <c r="B2292" s="1" t="s">
        <v>2299</v>
      </c>
      <c r="T2292" s="1">
        <v>2</v>
      </c>
      <c r="V2292" s="1">
        <v>0</v>
      </c>
    </row>
    <row r="2293" spans="1:22" x14ac:dyDescent="0.2">
      <c r="A2293" s="1" t="s">
        <v>2110</v>
      </c>
      <c r="B2293" s="1" t="s">
        <v>2300</v>
      </c>
      <c r="V2293" s="1">
        <v>3</v>
      </c>
    </row>
    <row r="2294" spans="1:22" x14ac:dyDescent="0.2">
      <c r="A2294" s="1" t="s">
        <v>2110</v>
      </c>
      <c r="B2294" s="1" t="s">
        <v>2301</v>
      </c>
      <c r="T2294" s="1">
        <v>83</v>
      </c>
      <c r="U2294" s="1">
        <v>84</v>
      </c>
      <c r="V2294" s="1">
        <v>51</v>
      </c>
    </row>
    <row r="2295" spans="1:22" x14ac:dyDescent="0.2">
      <c r="A2295" s="1" t="s">
        <v>2110</v>
      </c>
      <c r="B2295" s="1" t="s">
        <v>2302</v>
      </c>
      <c r="T2295" s="1">
        <f>SUM(T2296:T2318)</f>
        <v>1039</v>
      </c>
      <c r="U2295" s="1">
        <f>SUM(U2296:U2318)</f>
        <v>1244</v>
      </c>
      <c r="V2295" s="1">
        <f>SUM(V2296:V2318)</f>
        <v>1128</v>
      </c>
    </row>
    <row r="2296" spans="1:22" x14ac:dyDescent="0.2">
      <c r="A2296" s="1" t="s">
        <v>2110</v>
      </c>
      <c r="B2296" s="1" t="s">
        <v>2303</v>
      </c>
      <c r="T2296" s="1">
        <v>6</v>
      </c>
      <c r="U2296" s="1">
        <v>14</v>
      </c>
      <c r="V2296" s="1">
        <v>13</v>
      </c>
    </row>
    <row r="2297" spans="1:22" x14ac:dyDescent="0.2">
      <c r="A2297" s="1" t="s">
        <v>2110</v>
      </c>
      <c r="B2297" s="1" t="s">
        <v>2304</v>
      </c>
      <c r="T2297" s="1">
        <v>24</v>
      </c>
      <c r="U2297" s="1">
        <v>4</v>
      </c>
      <c r="V2297" s="1">
        <v>11</v>
      </c>
    </row>
    <row r="2298" spans="1:22" x14ac:dyDescent="0.2">
      <c r="A2298" s="1" t="s">
        <v>2110</v>
      </c>
      <c r="B2298" s="1" t="s">
        <v>2305</v>
      </c>
      <c r="T2298" s="1">
        <v>7</v>
      </c>
      <c r="U2298" s="1">
        <v>2</v>
      </c>
      <c r="V2298" s="1">
        <v>6</v>
      </c>
    </row>
    <row r="2299" spans="1:22" x14ac:dyDescent="0.2">
      <c r="A2299" s="1" t="s">
        <v>2110</v>
      </c>
      <c r="B2299" s="1" t="s">
        <v>2306</v>
      </c>
      <c r="T2299" s="1">
        <v>2</v>
      </c>
      <c r="U2299" s="1">
        <v>3</v>
      </c>
      <c r="V2299" s="1">
        <v>0</v>
      </c>
    </row>
    <row r="2300" spans="1:22" x14ac:dyDescent="0.2">
      <c r="A2300" s="1" t="s">
        <v>2110</v>
      </c>
      <c r="B2300" s="1" t="s">
        <v>2307</v>
      </c>
      <c r="T2300" s="1">
        <v>1</v>
      </c>
      <c r="V2300" s="1">
        <v>0</v>
      </c>
    </row>
    <row r="2301" spans="1:22" x14ac:dyDescent="0.2">
      <c r="A2301" s="1" t="s">
        <v>2110</v>
      </c>
      <c r="B2301" s="1" t="s">
        <v>2308</v>
      </c>
      <c r="U2301" s="1">
        <v>2</v>
      </c>
      <c r="V2301" s="1">
        <v>1</v>
      </c>
    </row>
    <row r="2302" spans="1:22" x14ac:dyDescent="0.2">
      <c r="A2302" s="1" t="s">
        <v>2110</v>
      </c>
      <c r="B2302" s="1" t="s">
        <v>2309</v>
      </c>
      <c r="T2302" s="1">
        <v>8</v>
      </c>
      <c r="V2302" s="1">
        <v>0</v>
      </c>
    </row>
    <row r="2303" spans="1:22" x14ac:dyDescent="0.2">
      <c r="A2303" s="1" t="s">
        <v>2110</v>
      </c>
      <c r="B2303" s="1" t="s">
        <v>2310</v>
      </c>
      <c r="T2303" s="1">
        <v>17</v>
      </c>
      <c r="U2303" s="1">
        <v>7</v>
      </c>
      <c r="V2303" s="1">
        <v>17</v>
      </c>
    </row>
    <row r="2304" spans="1:22" x14ac:dyDescent="0.2">
      <c r="A2304" s="1" t="s">
        <v>2110</v>
      </c>
      <c r="B2304" s="1" t="s">
        <v>2311</v>
      </c>
      <c r="T2304" s="1">
        <v>90</v>
      </c>
      <c r="U2304" s="1">
        <v>123</v>
      </c>
      <c r="V2304" s="1">
        <v>117</v>
      </c>
    </row>
    <row r="2305" spans="1:22" x14ac:dyDescent="0.2">
      <c r="A2305" s="1" t="s">
        <v>2110</v>
      </c>
      <c r="B2305" s="1" t="s">
        <v>2312</v>
      </c>
      <c r="T2305" s="1">
        <v>9</v>
      </c>
      <c r="U2305" s="1">
        <v>8</v>
      </c>
      <c r="V2305" s="1">
        <v>5</v>
      </c>
    </row>
    <row r="2306" spans="1:22" x14ac:dyDescent="0.2">
      <c r="A2306" s="1" t="s">
        <v>2110</v>
      </c>
      <c r="B2306" s="1" t="s">
        <v>2313</v>
      </c>
      <c r="U2306" s="1">
        <v>29</v>
      </c>
      <c r="V2306" s="1">
        <v>10</v>
      </c>
    </row>
    <row r="2307" spans="1:22" x14ac:dyDescent="0.2">
      <c r="A2307" s="1" t="s">
        <v>2110</v>
      </c>
      <c r="B2307" s="1" t="s">
        <v>2314</v>
      </c>
      <c r="T2307" s="1">
        <v>69</v>
      </c>
      <c r="U2307" s="1">
        <v>81</v>
      </c>
      <c r="V2307" s="1">
        <v>56</v>
      </c>
    </row>
    <row r="2308" spans="1:22" x14ac:dyDescent="0.2">
      <c r="A2308" s="1" t="s">
        <v>2110</v>
      </c>
      <c r="B2308" s="1" t="s">
        <v>2315</v>
      </c>
      <c r="U2308" s="1">
        <v>1</v>
      </c>
      <c r="V2308" s="1">
        <v>1</v>
      </c>
    </row>
    <row r="2309" spans="1:22" x14ac:dyDescent="0.2">
      <c r="A2309" s="1" t="s">
        <v>2110</v>
      </c>
      <c r="B2309" s="1" t="s">
        <v>2316</v>
      </c>
      <c r="U2309" s="1">
        <v>1</v>
      </c>
      <c r="V2309" s="1">
        <v>1</v>
      </c>
    </row>
    <row r="2310" spans="1:22" x14ac:dyDescent="0.2">
      <c r="A2310" s="1" t="s">
        <v>2110</v>
      </c>
      <c r="B2310" s="1" t="s">
        <v>2317</v>
      </c>
      <c r="U2310" s="1">
        <v>1</v>
      </c>
      <c r="V2310" s="1">
        <v>0</v>
      </c>
    </row>
    <row r="2311" spans="1:22" x14ac:dyDescent="0.2">
      <c r="A2311" s="1" t="s">
        <v>2110</v>
      </c>
      <c r="B2311" s="1" t="s">
        <v>2318</v>
      </c>
      <c r="U2311" s="1">
        <v>3</v>
      </c>
      <c r="V2311" s="1">
        <v>1</v>
      </c>
    </row>
    <row r="2312" spans="1:22" x14ac:dyDescent="0.2">
      <c r="A2312" s="1" t="s">
        <v>2110</v>
      </c>
      <c r="B2312" s="1" t="s">
        <v>2319</v>
      </c>
      <c r="T2312" s="1">
        <v>1</v>
      </c>
      <c r="V2312" s="1">
        <v>3</v>
      </c>
    </row>
    <row r="2313" spans="1:22" x14ac:dyDescent="0.2">
      <c r="A2313" s="1" t="s">
        <v>2110</v>
      </c>
      <c r="B2313" s="1" t="s">
        <v>2320</v>
      </c>
      <c r="T2313" s="1">
        <v>7</v>
      </c>
      <c r="U2313" s="1">
        <v>10</v>
      </c>
      <c r="V2313" s="1">
        <v>5</v>
      </c>
    </row>
    <row r="2314" spans="1:22" x14ac:dyDescent="0.2">
      <c r="A2314" s="1" t="s">
        <v>2110</v>
      </c>
      <c r="B2314" s="1" t="s">
        <v>2321</v>
      </c>
      <c r="T2314" s="1">
        <v>8</v>
      </c>
      <c r="U2314" s="1">
        <v>4</v>
      </c>
      <c r="V2314" s="1">
        <v>14</v>
      </c>
    </row>
    <row r="2315" spans="1:22" x14ac:dyDescent="0.2">
      <c r="A2315" s="1" t="s">
        <v>2110</v>
      </c>
      <c r="B2315" s="1" t="s">
        <v>2322</v>
      </c>
      <c r="T2315" s="1">
        <v>9</v>
      </c>
      <c r="U2315" s="1">
        <v>57</v>
      </c>
      <c r="V2315" s="1">
        <v>108</v>
      </c>
    </row>
    <row r="2316" spans="1:22" x14ac:dyDescent="0.2">
      <c r="A2316" s="1" t="s">
        <v>2110</v>
      </c>
      <c r="B2316" s="1" t="s">
        <v>2323</v>
      </c>
      <c r="T2316" s="1">
        <v>5</v>
      </c>
      <c r="U2316" s="1">
        <v>4</v>
      </c>
      <c r="V2316" s="1">
        <v>3</v>
      </c>
    </row>
    <row r="2317" spans="1:22" x14ac:dyDescent="0.2">
      <c r="A2317" s="1" t="s">
        <v>2110</v>
      </c>
      <c r="B2317" s="1" t="s">
        <v>2324</v>
      </c>
      <c r="T2317" s="1">
        <v>212</v>
      </c>
      <c r="U2317" s="1">
        <v>239</v>
      </c>
      <c r="V2317" s="1">
        <v>153</v>
      </c>
    </row>
    <row r="2318" spans="1:22" x14ac:dyDescent="0.2">
      <c r="A2318" s="1" t="s">
        <v>2110</v>
      </c>
      <c r="B2318" s="1" t="s">
        <v>2325</v>
      </c>
      <c r="T2318" s="1">
        <v>564</v>
      </c>
      <c r="U2318" s="1">
        <v>651</v>
      </c>
      <c r="V2318" s="1">
        <v>603</v>
      </c>
    </row>
    <row r="2319" spans="1:22" x14ac:dyDescent="0.2">
      <c r="A2319" s="1" t="s">
        <v>2110</v>
      </c>
      <c r="B2319" s="1" t="s">
        <v>2326</v>
      </c>
      <c r="T2319" s="1">
        <f>SUM(T2320:T2327)</f>
        <v>458</v>
      </c>
      <c r="U2319" s="1">
        <f>SUM(U2320:U2327)</f>
        <v>490</v>
      </c>
      <c r="V2319" s="1">
        <f>SUM(V2320:V2327)</f>
        <v>463</v>
      </c>
    </row>
    <row r="2320" spans="1:22" x14ac:dyDescent="0.2">
      <c r="A2320" s="1" t="s">
        <v>2110</v>
      </c>
      <c r="B2320" s="1" t="s">
        <v>2327</v>
      </c>
      <c r="T2320" s="1">
        <v>5</v>
      </c>
      <c r="U2320" s="1">
        <v>3</v>
      </c>
      <c r="V2320" s="1">
        <v>1</v>
      </c>
    </row>
    <row r="2321" spans="1:22" x14ac:dyDescent="0.2">
      <c r="A2321" s="1" t="s">
        <v>2110</v>
      </c>
      <c r="B2321" s="1" t="s">
        <v>2328</v>
      </c>
      <c r="V2321" s="1">
        <v>1</v>
      </c>
    </row>
    <row r="2322" spans="1:22" x14ac:dyDescent="0.2">
      <c r="A2322" s="1" t="s">
        <v>2110</v>
      </c>
      <c r="B2322" s="1" t="s">
        <v>2329</v>
      </c>
      <c r="V2322" s="1">
        <v>1</v>
      </c>
    </row>
    <row r="2323" spans="1:22" x14ac:dyDescent="0.2">
      <c r="A2323" s="1" t="s">
        <v>2110</v>
      </c>
      <c r="B2323" s="1" t="s">
        <v>2330</v>
      </c>
      <c r="T2323" s="1">
        <v>10</v>
      </c>
      <c r="U2323" s="1">
        <v>1</v>
      </c>
      <c r="V2323" s="1">
        <v>0</v>
      </c>
    </row>
    <row r="2324" spans="1:22" x14ac:dyDescent="0.2">
      <c r="A2324" s="1" t="s">
        <v>2110</v>
      </c>
      <c r="B2324" s="1" t="s">
        <v>2331</v>
      </c>
      <c r="U2324" s="1">
        <v>1</v>
      </c>
      <c r="V2324" s="1">
        <v>0</v>
      </c>
    </row>
    <row r="2325" spans="1:22" x14ac:dyDescent="0.2">
      <c r="A2325" s="1" t="s">
        <v>2110</v>
      </c>
      <c r="B2325" s="1" t="s">
        <v>2332</v>
      </c>
      <c r="T2325" s="1">
        <v>409</v>
      </c>
      <c r="U2325" s="1">
        <v>457</v>
      </c>
      <c r="V2325" s="1">
        <v>434</v>
      </c>
    </row>
    <row r="2326" spans="1:22" x14ac:dyDescent="0.2">
      <c r="A2326" s="1" t="s">
        <v>2110</v>
      </c>
      <c r="B2326" s="1" t="s">
        <v>2333</v>
      </c>
      <c r="T2326" s="1">
        <v>28</v>
      </c>
      <c r="U2326" s="1">
        <v>18</v>
      </c>
      <c r="V2326" s="1">
        <v>13</v>
      </c>
    </row>
    <row r="2327" spans="1:22" x14ac:dyDescent="0.2">
      <c r="A2327" s="1" t="s">
        <v>2110</v>
      </c>
      <c r="B2327" s="1" t="s">
        <v>2334</v>
      </c>
      <c r="T2327" s="1">
        <v>6</v>
      </c>
      <c r="U2327" s="1">
        <v>10</v>
      </c>
      <c r="V2327" s="1">
        <v>13</v>
      </c>
    </row>
    <row r="2328" spans="1:22" x14ac:dyDescent="0.2">
      <c r="A2328" s="1" t="s">
        <v>2110</v>
      </c>
      <c r="B2328" s="1" t="s">
        <v>2335</v>
      </c>
      <c r="T2328" s="1">
        <f>SUM(T2329:T2343)</f>
        <v>632</v>
      </c>
      <c r="U2328" s="1">
        <f>SUM(U2329:U2343)</f>
        <v>730</v>
      </c>
      <c r="V2328" s="1">
        <f>SUM(V2329:V2343)</f>
        <v>989</v>
      </c>
    </row>
    <row r="2329" spans="1:22" x14ac:dyDescent="0.2">
      <c r="A2329" s="1" t="s">
        <v>2110</v>
      </c>
      <c r="B2329" s="1" t="s">
        <v>2336</v>
      </c>
      <c r="T2329" s="1">
        <v>37</v>
      </c>
      <c r="U2329" s="1">
        <v>71</v>
      </c>
      <c r="V2329" s="1">
        <v>111</v>
      </c>
    </row>
    <row r="2330" spans="1:22" x14ac:dyDescent="0.2">
      <c r="A2330" s="1" t="s">
        <v>2110</v>
      </c>
      <c r="B2330" s="1" t="s">
        <v>2337</v>
      </c>
      <c r="V2330" s="1">
        <v>1</v>
      </c>
    </row>
    <row r="2331" spans="1:22" x14ac:dyDescent="0.2">
      <c r="A2331" s="1" t="s">
        <v>2110</v>
      </c>
      <c r="B2331" s="1" t="s">
        <v>2338</v>
      </c>
      <c r="T2331" s="1">
        <v>2</v>
      </c>
      <c r="U2331" s="1">
        <v>7</v>
      </c>
      <c r="V2331" s="1">
        <v>18</v>
      </c>
    </row>
    <row r="2332" spans="1:22" x14ac:dyDescent="0.2">
      <c r="A2332" s="1" t="s">
        <v>2110</v>
      </c>
      <c r="B2332" s="1" t="s">
        <v>2339</v>
      </c>
      <c r="T2332" s="1">
        <v>4</v>
      </c>
      <c r="U2332" s="1">
        <v>13</v>
      </c>
      <c r="V2332" s="1">
        <v>13</v>
      </c>
    </row>
    <row r="2333" spans="1:22" x14ac:dyDescent="0.2">
      <c r="A2333" s="1" t="s">
        <v>2110</v>
      </c>
      <c r="B2333" s="1" t="s">
        <v>2340</v>
      </c>
      <c r="T2333" s="1">
        <v>9</v>
      </c>
      <c r="U2333" s="1">
        <v>14</v>
      </c>
      <c r="V2333" s="1">
        <v>31</v>
      </c>
    </row>
    <row r="2334" spans="1:22" x14ac:dyDescent="0.2">
      <c r="A2334" s="1" t="s">
        <v>2110</v>
      </c>
      <c r="B2334" s="1" t="s">
        <v>2341</v>
      </c>
      <c r="T2334" s="1">
        <v>1</v>
      </c>
      <c r="V2334" s="1">
        <v>2</v>
      </c>
    </row>
    <row r="2335" spans="1:22" x14ac:dyDescent="0.2">
      <c r="A2335" s="1" t="s">
        <v>2110</v>
      </c>
      <c r="B2335" s="1" t="s">
        <v>2342</v>
      </c>
      <c r="T2335" s="1">
        <v>2</v>
      </c>
      <c r="U2335" s="1">
        <v>1</v>
      </c>
      <c r="V2335" s="1">
        <v>2</v>
      </c>
    </row>
    <row r="2336" spans="1:22" x14ac:dyDescent="0.2">
      <c r="A2336" s="1" t="s">
        <v>2110</v>
      </c>
      <c r="B2336" s="1" t="s">
        <v>2343</v>
      </c>
      <c r="T2336" s="1">
        <v>504</v>
      </c>
      <c r="U2336" s="1">
        <v>505</v>
      </c>
      <c r="V2336" s="1">
        <v>653</v>
      </c>
    </row>
    <row r="2337" spans="1:22" x14ac:dyDescent="0.2">
      <c r="A2337" s="1" t="s">
        <v>2110</v>
      </c>
      <c r="B2337" s="1" t="s">
        <v>2344</v>
      </c>
      <c r="T2337" s="1">
        <v>1</v>
      </c>
      <c r="V2337" s="1">
        <v>0</v>
      </c>
    </row>
    <row r="2338" spans="1:22" x14ac:dyDescent="0.2">
      <c r="A2338" s="1" t="s">
        <v>2110</v>
      </c>
      <c r="B2338" s="1" t="s">
        <v>2345</v>
      </c>
      <c r="T2338" s="1">
        <v>43</v>
      </c>
      <c r="U2338" s="1">
        <v>68</v>
      </c>
      <c r="V2338" s="1">
        <v>79</v>
      </c>
    </row>
    <row r="2339" spans="1:22" x14ac:dyDescent="0.2">
      <c r="A2339" s="1" t="s">
        <v>2110</v>
      </c>
      <c r="B2339" s="1" t="s">
        <v>2346</v>
      </c>
      <c r="T2339" s="1">
        <v>14</v>
      </c>
      <c r="U2339" s="1">
        <v>28</v>
      </c>
      <c r="V2339" s="1">
        <v>35</v>
      </c>
    </row>
    <row r="2340" spans="1:22" x14ac:dyDescent="0.2">
      <c r="A2340" s="1" t="s">
        <v>2110</v>
      </c>
      <c r="B2340" s="1" t="s">
        <v>2347</v>
      </c>
      <c r="T2340" s="1">
        <v>2</v>
      </c>
      <c r="U2340" s="1">
        <v>5</v>
      </c>
      <c r="V2340" s="1">
        <v>6</v>
      </c>
    </row>
    <row r="2341" spans="1:22" x14ac:dyDescent="0.2">
      <c r="A2341" s="1" t="s">
        <v>2110</v>
      </c>
      <c r="B2341" s="1" t="s">
        <v>2348</v>
      </c>
      <c r="T2341" s="1">
        <v>7</v>
      </c>
      <c r="U2341" s="1">
        <v>5</v>
      </c>
      <c r="V2341" s="1">
        <v>12</v>
      </c>
    </row>
    <row r="2342" spans="1:22" x14ac:dyDescent="0.2">
      <c r="A2342" s="1" t="s">
        <v>2110</v>
      </c>
      <c r="B2342" s="1" t="s">
        <v>2349</v>
      </c>
      <c r="T2342" s="1">
        <v>2</v>
      </c>
      <c r="U2342" s="1">
        <v>7</v>
      </c>
      <c r="V2342" s="1">
        <v>15</v>
      </c>
    </row>
    <row r="2343" spans="1:22" x14ac:dyDescent="0.2">
      <c r="A2343" s="1" t="s">
        <v>2110</v>
      </c>
      <c r="B2343" s="1" t="s">
        <v>2350</v>
      </c>
      <c r="T2343" s="1">
        <v>4</v>
      </c>
      <c r="U2343" s="1">
        <v>6</v>
      </c>
      <c r="V2343" s="1">
        <v>11</v>
      </c>
    </row>
    <row r="2344" spans="1:22" x14ac:dyDescent="0.2">
      <c r="A2344" s="1" t="s">
        <v>2110</v>
      </c>
      <c r="B2344" s="1" t="s">
        <v>2351</v>
      </c>
      <c r="T2344" s="1">
        <f>SUM(T2345:T2361)</f>
        <v>91</v>
      </c>
      <c r="U2344" s="1">
        <f>SUM(U2345:U2361)</f>
        <v>82</v>
      </c>
      <c r="V2344" s="1">
        <f>SUM(V2345:V2361)</f>
        <v>84</v>
      </c>
    </row>
    <row r="2345" spans="1:22" x14ac:dyDescent="0.2">
      <c r="A2345" s="1" t="s">
        <v>2110</v>
      </c>
      <c r="B2345" s="1" t="s">
        <v>2352</v>
      </c>
      <c r="T2345" s="1">
        <v>5</v>
      </c>
      <c r="U2345" s="1">
        <v>5</v>
      </c>
      <c r="V2345" s="1">
        <v>6</v>
      </c>
    </row>
    <row r="2346" spans="1:22" x14ac:dyDescent="0.2">
      <c r="A2346" s="1" t="s">
        <v>2110</v>
      </c>
      <c r="B2346" s="1" t="s">
        <v>2353</v>
      </c>
      <c r="T2346" s="1">
        <v>1</v>
      </c>
      <c r="U2346" s="1">
        <v>1</v>
      </c>
      <c r="V2346" s="1">
        <v>0</v>
      </c>
    </row>
    <row r="2347" spans="1:22" x14ac:dyDescent="0.2">
      <c r="A2347" s="1" t="s">
        <v>2110</v>
      </c>
      <c r="B2347" s="1" t="s">
        <v>2354</v>
      </c>
      <c r="U2347" s="1">
        <v>1</v>
      </c>
      <c r="V2347" s="1">
        <v>0</v>
      </c>
    </row>
    <row r="2348" spans="1:22" x14ac:dyDescent="0.2">
      <c r="A2348" s="1" t="s">
        <v>2110</v>
      </c>
      <c r="B2348" s="1" t="s">
        <v>2355</v>
      </c>
      <c r="T2348" s="1">
        <v>8</v>
      </c>
      <c r="U2348" s="1">
        <v>3</v>
      </c>
      <c r="V2348" s="1">
        <v>4</v>
      </c>
    </row>
    <row r="2349" spans="1:22" x14ac:dyDescent="0.2">
      <c r="A2349" s="1" t="s">
        <v>2110</v>
      </c>
      <c r="B2349" s="1" t="s">
        <v>2356</v>
      </c>
      <c r="T2349" s="1">
        <v>6</v>
      </c>
      <c r="U2349" s="1">
        <v>5</v>
      </c>
      <c r="V2349" s="1">
        <v>6</v>
      </c>
    </row>
    <row r="2350" spans="1:22" x14ac:dyDescent="0.2">
      <c r="A2350" s="1" t="s">
        <v>2110</v>
      </c>
      <c r="B2350" s="1" t="s">
        <v>2357</v>
      </c>
      <c r="T2350" s="1">
        <v>8</v>
      </c>
      <c r="U2350" s="1">
        <v>2</v>
      </c>
      <c r="V2350" s="1">
        <v>4</v>
      </c>
    </row>
    <row r="2351" spans="1:22" x14ac:dyDescent="0.2">
      <c r="A2351" s="1" t="s">
        <v>2110</v>
      </c>
      <c r="B2351" s="1" t="s">
        <v>2358</v>
      </c>
      <c r="U2351" s="1">
        <v>1</v>
      </c>
      <c r="V2351" s="1">
        <v>1</v>
      </c>
    </row>
    <row r="2352" spans="1:22" x14ac:dyDescent="0.2">
      <c r="A2352" s="1" t="s">
        <v>2110</v>
      </c>
      <c r="B2352" s="1" t="s">
        <v>2359</v>
      </c>
      <c r="T2352" s="1">
        <v>3</v>
      </c>
      <c r="U2352" s="1">
        <v>2</v>
      </c>
      <c r="V2352" s="1">
        <v>2</v>
      </c>
    </row>
    <row r="2353" spans="1:22" x14ac:dyDescent="0.2">
      <c r="A2353" s="1" t="s">
        <v>2110</v>
      </c>
      <c r="B2353" s="1" t="s">
        <v>2360</v>
      </c>
      <c r="U2353" s="1">
        <v>1</v>
      </c>
      <c r="V2353" s="1">
        <v>1</v>
      </c>
    </row>
    <row r="2354" spans="1:22" x14ac:dyDescent="0.2">
      <c r="A2354" s="1" t="s">
        <v>2110</v>
      </c>
      <c r="B2354" s="1" t="s">
        <v>2361</v>
      </c>
      <c r="T2354" s="1">
        <v>28</v>
      </c>
      <c r="U2354" s="1">
        <v>30</v>
      </c>
      <c r="V2354" s="1">
        <v>8</v>
      </c>
    </row>
    <row r="2355" spans="1:22" x14ac:dyDescent="0.2">
      <c r="A2355" s="1" t="s">
        <v>2110</v>
      </c>
      <c r="B2355" s="1" t="s">
        <v>2362</v>
      </c>
      <c r="T2355" s="1">
        <v>9</v>
      </c>
      <c r="U2355" s="1">
        <v>5</v>
      </c>
      <c r="V2355" s="1">
        <v>15</v>
      </c>
    </row>
    <row r="2356" spans="1:22" x14ac:dyDescent="0.2">
      <c r="A2356" s="1" t="s">
        <v>2110</v>
      </c>
      <c r="B2356" s="1" t="s">
        <v>2363</v>
      </c>
      <c r="U2356" s="1">
        <v>7</v>
      </c>
      <c r="V2356" s="1">
        <v>2</v>
      </c>
    </row>
    <row r="2357" spans="1:22" x14ac:dyDescent="0.2">
      <c r="A2357" s="1" t="s">
        <v>2110</v>
      </c>
      <c r="B2357" s="1" t="s">
        <v>2364</v>
      </c>
      <c r="T2357" s="1">
        <v>2</v>
      </c>
      <c r="V2357" s="1">
        <v>1</v>
      </c>
    </row>
    <row r="2358" spans="1:22" x14ac:dyDescent="0.2">
      <c r="A2358" s="1" t="s">
        <v>2110</v>
      </c>
      <c r="B2358" s="1" t="s">
        <v>2365</v>
      </c>
      <c r="T2358" s="1">
        <v>1</v>
      </c>
      <c r="U2358" s="1">
        <v>4</v>
      </c>
      <c r="V2358" s="1">
        <v>1</v>
      </c>
    </row>
    <row r="2359" spans="1:22" x14ac:dyDescent="0.2">
      <c r="A2359" s="1" t="s">
        <v>2110</v>
      </c>
      <c r="B2359" s="1" t="s">
        <v>2366</v>
      </c>
      <c r="T2359" s="1">
        <v>19</v>
      </c>
      <c r="U2359" s="1">
        <v>8</v>
      </c>
      <c r="V2359" s="1">
        <v>21</v>
      </c>
    </row>
    <row r="2360" spans="1:22" x14ac:dyDescent="0.2">
      <c r="A2360" s="1" t="s">
        <v>2110</v>
      </c>
      <c r="B2360" s="1" t="s">
        <v>2367</v>
      </c>
      <c r="U2360" s="1">
        <v>6</v>
      </c>
      <c r="V2360" s="1">
        <v>11</v>
      </c>
    </row>
    <row r="2361" spans="1:22" x14ac:dyDescent="0.2">
      <c r="A2361" s="1" t="s">
        <v>2110</v>
      </c>
      <c r="B2361" s="1" t="s">
        <v>2368</v>
      </c>
      <c r="T2361" s="1">
        <v>1</v>
      </c>
      <c r="U2361" s="1">
        <v>1</v>
      </c>
      <c r="V2361" s="1">
        <v>1</v>
      </c>
    </row>
    <row r="2362" spans="1:22" x14ac:dyDescent="0.2">
      <c r="A2362" s="1" t="s">
        <v>2110</v>
      </c>
      <c r="B2362" s="1" t="s">
        <v>2369</v>
      </c>
      <c r="T2362" s="1">
        <f>SUM(T2363:T2366)</f>
        <v>7</v>
      </c>
      <c r="U2362" s="1">
        <f>SUM(U2363:U2366)</f>
        <v>12</v>
      </c>
      <c r="V2362" s="1">
        <f>SUM(V2363:V2366)</f>
        <v>9</v>
      </c>
    </row>
    <row r="2363" spans="1:22" x14ac:dyDescent="0.2">
      <c r="A2363" s="1" t="s">
        <v>2110</v>
      </c>
      <c r="B2363" s="1" t="s">
        <v>2370</v>
      </c>
      <c r="T2363" s="1">
        <v>4</v>
      </c>
      <c r="U2363" s="1">
        <v>7</v>
      </c>
      <c r="V2363" s="1">
        <v>4</v>
      </c>
    </row>
    <row r="2364" spans="1:22" x14ac:dyDescent="0.2">
      <c r="A2364" s="1" t="s">
        <v>2110</v>
      </c>
      <c r="B2364" s="1" t="s">
        <v>2371</v>
      </c>
      <c r="T2364" s="1">
        <v>1</v>
      </c>
      <c r="U2364" s="1">
        <v>2</v>
      </c>
      <c r="V2364" s="1">
        <v>3</v>
      </c>
    </row>
    <row r="2365" spans="1:22" x14ac:dyDescent="0.2">
      <c r="A2365" s="1" t="s">
        <v>2110</v>
      </c>
      <c r="B2365" s="1" t="s">
        <v>2372</v>
      </c>
      <c r="T2365" s="1">
        <v>1</v>
      </c>
      <c r="U2365" s="1">
        <v>2</v>
      </c>
      <c r="V2365" s="1">
        <v>2</v>
      </c>
    </row>
    <row r="2366" spans="1:22" x14ac:dyDescent="0.2">
      <c r="A2366" s="1" t="s">
        <v>2110</v>
      </c>
      <c r="B2366" s="1" t="s">
        <v>2373</v>
      </c>
      <c r="T2366" s="1">
        <v>1</v>
      </c>
      <c r="U2366" s="1">
        <v>1</v>
      </c>
      <c r="V2366" s="1">
        <v>0</v>
      </c>
    </row>
    <row r="2367" spans="1:22" x14ac:dyDescent="0.2">
      <c r="A2367" s="1" t="s">
        <v>2110</v>
      </c>
      <c r="B2367" s="1" t="s">
        <v>2374</v>
      </c>
      <c r="T2367" s="1">
        <f>SUM(T2368:T2380)</f>
        <v>38</v>
      </c>
      <c r="U2367" s="1">
        <f>SUM(U2368:U2380)</f>
        <v>31</v>
      </c>
      <c r="V2367" s="1">
        <f>SUM(V2368:V2380)</f>
        <v>44</v>
      </c>
    </row>
    <row r="2368" spans="1:22" x14ac:dyDescent="0.2">
      <c r="A2368" s="1" t="s">
        <v>2110</v>
      </c>
      <c r="B2368" s="1" t="s">
        <v>2375</v>
      </c>
      <c r="T2368" s="1">
        <v>2</v>
      </c>
      <c r="U2368" s="1">
        <v>2</v>
      </c>
      <c r="V2368" s="1">
        <v>5</v>
      </c>
    </row>
    <row r="2369" spans="1:22" x14ac:dyDescent="0.2">
      <c r="A2369" s="1" t="s">
        <v>2110</v>
      </c>
      <c r="B2369" s="1" t="s">
        <v>2376</v>
      </c>
      <c r="T2369" s="1">
        <v>3</v>
      </c>
      <c r="U2369" s="1">
        <v>1</v>
      </c>
      <c r="V2369" s="1">
        <v>0</v>
      </c>
    </row>
    <row r="2370" spans="1:22" x14ac:dyDescent="0.2">
      <c r="A2370" s="1" t="s">
        <v>2110</v>
      </c>
      <c r="B2370" s="1" t="s">
        <v>2377</v>
      </c>
      <c r="T2370" s="1">
        <v>5</v>
      </c>
      <c r="U2370" s="1">
        <v>2</v>
      </c>
      <c r="V2370" s="1">
        <v>7</v>
      </c>
    </row>
    <row r="2371" spans="1:22" x14ac:dyDescent="0.2">
      <c r="A2371" s="1" t="s">
        <v>2110</v>
      </c>
      <c r="B2371" s="1" t="s">
        <v>2378</v>
      </c>
      <c r="T2371" s="1">
        <v>3</v>
      </c>
      <c r="U2371" s="1">
        <v>3</v>
      </c>
      <c r="V2371" s="1">
        <v>5</v>
      </c>
    </row>
    <row r="2372" spans="1:22" x14ac:dyDescent="0.2">
      <c r="A2372" s="1" t="s">
        <v>2110</v>
      </c>
      <c r="B2372" s="1" t="s">
        <v>2379</v>
      </c>
      <c r="T2372" s="1">
        <v>2</v>
      </c>
      <c r="V2372" s="1">
        <v>7</v>
      </c>
    </row>
    <row r="2373" spans="1:22" x14ac:dyDescent="0.2">
      <c r="A2373" s="1" t="s">
        <v>2110</v>
      </c>
      <c r="B2373" s="1" t="s">
        <v>2380</v>
      </c>
      <c r="T2373" s="1">
        <v>1</v>
      </c>
      <c r="U2373" s="1">
        <v>1</v>
      </c>
      <c r="V2373" s="1">
        <v>2</v>
      </c>
    </row>
    <row r="2374" spans="1:22" x14ac:dyDescent="0.2">
      <c r="A2374" s="1" t="s">
        <v>2110</v>
      </c>
      <c r="B2374" s="1" t="s">
        <v>2381</v>
      </c>
      <c r="T2374" s="1">
        <v>1</v>
      </c>
      <c r="U2374" s="1">
        <v>1</v>
      </c>
      <c r="V2374" s="1">
        <v>3</v>
      </c>
    </row>
    <row r="2375" spans="1:22" x14ac:dyDescent="0.2">
      <c r="A2375" s="1" t="s">
        <v>2110</v>
      </c>
      <c r="B2375" s="1" t="s">
        <v>2382</v>
      </c>
      <c r="V2375" s="1">
        <v>2</v>
      </c>
    </row>
    <row r="2376" spans="1:22" x14ac:dyDescent="0.2">
      <c r="A2376" s="1" t="s">
        <v>2110</v>
      </c>
      <c r="B2376" s="1" t="s">
        <v>2383</v>
      </c>
      <c r="V2376" s="1">
        <v>2</v>
      </c>
    </row>
    <row r="2377" spans="1:22" x14ac:dyDescent="0.2">
      <c r="A2377" s="1" t="s">
        <v>2110</v>
      </c>
      <c r="B2377" s="1" t="s">
        <v>2384</v>
      </c>
      <c r="U2377" s="1">
        <v>3</v>
      </c>
      <c r="V2377" s="1">
        <v>1</v>
      </c>
    </row>
    <row r="2378" spans="1:22" x14ac:dyDescent="0.2">
      <c r="A2378" s="1" t="s">
        <v>2110</v>
      </c>
      <c r="B2378" s="1" t="s">
        <v>2385</v>
      </c>
      <c r="T2378" s="1">
        <v>20</v>
      </c>
      <c r="U2378" s="1">
        <v>9</v>
      </c>
      <c r="V2378" s="1">
        <v>0</v>
      </c>
    </row>
    <row r="2379" spans="1:22" x14ac:dyDescent="0.2">
      <c r="A2379" s="1" t="s">
        <v>2110</v>
      </c>
      <c r="B2379" s="1" t="s">
        <v>2386</v>
      </c>
      <c r="T2379" s="1">
        <v>1</v>
      </c>
      <c r="U2379" s="1">
        <v>9</v>
      </c>
      <c r="V2379" s="1">
        <v>3</v>
      </c>
    </row>
    <row r="2380" spans="1:22" x14ac:dyDescent="0.2">
      <c r="A2380" s="1" t="s">
        <v>2110</v>
      </c>
      <c r="B2380" s="1" t="s">
        <v>2387</v>
      </c>
      <c r="V2380" s="1">
        <v>7</v>
      </c>
    </row>
    <row r="2381" spans="1:22" x14ac:dyDescent="0.2">
      <c r="A2381" s="1" t="s">
        <v>2110</v>
      </c>
      <c r="B2381" s="1" t="s">
        <v>2388</v>
      </c>
      <c r="T2381" s="1">
        <f>SUM(T2382:T2384)</f>
        <v>5</v>
      </c>
      <c r="U2381" s="1">
        <f>SUM(U2382:U2384)</f>
        <v>6</v>
      </c>
      <c r="V2381" s="1">
        <f>SUM(V2382:V2384)</f>
        <v>2</v>
      </c>
    </row>
    <row r="2382" spans="1:22" x14ac:dyDescent="0.2">
      <c r="A2382" s="1" t="s">
        <v>2110</v>
      </c>
      <c r="B2382" s="1" t="s">
        <v>2389</v>
      </c>
      <c r="T2382" s="1">
        <v>2</v>
      </c>
      <c r="U2382" s="1">
        <v>1</v>
      </c>
      <c r="V2382" s="1">
        <v>0</v>
      </c>
    </row>
    <row r="2383" spans="1:22" x14ac:dyDescent="0.2">
      <c r="A2383" s="1" t="s">
        <v>2110</v>
      </c>
      <c r="B2383" s="1" t="s">
        <v>2390</v>
      </c>
      <c r="T2383" s="1">
        <v>1</v>
      </c>
      <c r="V2383" s="1">
        <v>1</v>
      </c>
    </row>
    <row r="2384" spans="1:22" x14ac:dyDescent="0.2">
      <c r="A2384" s="1" t="s">
        <v>2110</v>
      </c>
      <c r="B2384" s="1" t="s">
        <v>2391</v>
      </c>
      <c r="T2384" s="1">
        <v>2</v>
      </c>
      <c r="U2384" s="1">
        <v>5</v>
      </c>
      <c r="V2384" s="1">
        <v>1</v>
      </c>
    </row>
    <row r="2385" spans="1:22" x14ac:dyDescent="0.2">
      <c r="A2385" s="1" t="s">
        <v>2110</v>
      </c>
      <c r="B2385" s="1" t="s">
        <v>2392</v>
      </c>
      <c r="T2385" s="1">
        <f>SUM(T2386:T2389)</f>
        <v>17</v>
      </c>
      <c r="U2385" s="1">
        <f>SUM(U2386:U2389)</f>
        <v>17</v>
      </c>
      <c r="V2385" s="1">
        <f>SUM(V2386:V2389)</f>
        <v>27</v>
      </c>
    </row>
    <row r="2386" spans="1:22" x14ac:dyDescent="0.2">
      <c r="A2386" s="1" t="s">
        <v>2110</v>
      </c>
      <c r="B2386" s="1" t="s">
        <v>2393</v>
      </c>
      <c r="U2386" s="1">
        <v>2</v>
      </c>
      <c r="V2386" s="1">
        <v>1</v>
      </c>
    </row>
    <row r="2387" spans="1:22" x14ac:dyDescent="0.2">
      <c r="A2387" s="1" t="s">
        <v>2110</v>
      </c>
      <c r="B2387" s="1" t="s">
        <v>2394</v>
      </c>
      <c r="V2387" s="1">
        <v>1</v>
      </c>
    </row>
    <row r="2388" spans="1:22" x14ac:dyDescent="0.2">
      <c r="A2388" s="1" t="s">
        <v>2110</v>
      </c>
      <c r="B2388" s="1" t="s">
        <v>2395</v>
      </c>
      <c r="T2388" s="1">
        <v>1</v>
      </c>
      <c r="V2388" s="1">
        <v>0</v>
      </c>
    </row>
    <row r="2389" spans="1:22" x14ac:dyDescent="0.2">
      <c r="A2389" s="1" t="s">
        <v>2110</v>
      </c>
      <c r="B2389" s="1" t="s">
        <v>2396</v>
      </c>
      <c r="T2389" s="1">
        <v>16</v>
      </c>
      <c r="U2389" s="1">
        <v>15</v>
      </c>
      <c r="V2389" s="1">
        <v>25</v>
      </c>
    </row>
    <row r="2390" spans="1:22" x14ac:dyDescent="0.2">
      <c r="A2390" s="1" t="s">
        <v>2110</v>
      </c>
      <c r="B2390" s="1" t="s">
        <v>2397</v>
      </c>
      <c r="T2390" s="1">
        <f>SUM(T2391:T2393)</f>
        <v>529</v>
      </c>
      <c r="U2390" s="1">
        <f>SUM(U2391:U2393)</f>
        <v>610</v>
      </c>
      <c r="V2390" s="1">
        <f>SUM(V2391:V2393)</f>
        <v>587</v>
      </c>
    </row>
    <row r="2391" spans="1:22" x14ac:dyDescent="0.2">
      <c r="A2391" s="1" t="s">
        <v>2110</v>
      </c>
      <c r="B2391" s="1" t="s">
        <v>2398</v>
      </c>
      <c r="T2391" s="1">
        <v>477</v>
      </c>
      <c r="U2391" s="1">
        <v>497</v>
      </c>
      <c r="V2391" s="1">
        <v>498</v>
      </c>
    </row>
    <row r="2392" spans="1:22" x14ac:dyDescent="0.2">
      <c r="A2392" s="1" t="s">
        <v>2110</v>
      </c>
      <c r="B2392" s="1" t="s">
        <v>2399</v>
      </c>
      <c r="T2392" s="1">
        <v>10</v>
      </c>
      <c r="U2392" s="1">
        <v>10</v>
      </c>
      <c r="V2392" s="1">
        <v>9</v>
      </c>
    </row>
    <row r="2393" spans="1:22" x14ac:dyDescent="0.2">
      <c r="A2393" s="1" t="s">
        <v>2110</v>
      </c>
      <c r="B2393" s="1" t="s">
        <v>2400</v>
      </c>
      <c r="T2393" s="1">
        <v>42</v>
      </c>
      <c r="U2393" s="1">
        <v>103</v>
      </c>
      <c r="V2393" s="1">
        <v>80</v>
      </c>
    </row>
    <row r="2394" spans="1:22" x14ac:dyDescent="0.2">
      <c r="A2394" s="1" t="s">
        <v>2110</v>
      </c>
      <c r="B2394" s="1" t="s">
        <v>2401</v>
      </c>
      <c r="T2394" s="1">
        <f>SUM(T2395:T2396)</f>
        <v>5</v>
      </c>
      <c r="U2394" s="1">
        <f>SUM(U2395:U2396)</f>
        <v>4</v>
      </c>
      <c r="V2394" s="1">
        <f>SUM(V2395:V2396)</f>
        <v>4</v>
      </c>
    </row>
    <row r="2395" spans="1:22" x14ac:dyDescent="0.2">
      <c r="A2395" s="1" t="s">
        <v>2110</v>
      </c>
      <c r="B2395" s="1" t="s">
        <v>2402</v>
      </c>
      <c r="T2395" s="1">
        <v>3</v>
      </c>
      <c r="U2395" s="1">
        <v>3</v>
      </c>
      <c r="V2395" s="1">
        <v>1</v>
      </c>
    </row>
    <row r="2396" spans="1:22" x14ac:dyDescent="0.2">
      <c r="A2396" s="1" t="s">
        <v>2110</v>
      </c>
      <c r="B2396" s="1" t="s">
        <v>2403</v>
      </c>
      <c r="T2396" s="1">
        <v>2</v>
      </c>
      <c r="U2396" s="1">
        <v>1</v>
      </c>
      <c r="V2396" s="1">
        <v>3</v>
      </c>
    </row>
    <row r="2397" spans="1:22" x14ac:dyDescent="0.2">
      <c r="A2397" s="1" t="s">
        <v>2110</v>
      </c>
      <c r="B2397" s="1" t="s">
        <v>2188</v>
      </c>
      <c r="T2397" s="1">
        <f>SUM(T2398:T2404)</f>
        <v>12</v>
      </c>
      <c r="U2397" s="1">
        <f>SUM(U2398:U2404)</f>
        <v>0</v>
      </c>
      <c r="V2397" s="1">
        <f>SUM(V2398:V2404)</f>
        <v>16</v>
      </c>
    </row>
    <row r="2398" spans="1:22" x14ac:dyDescent="0.2">
      <c r="A2398" s="1" t="s">
        <v>2110</v>
      </c>
      <c r="B2398" s="1" t="s">
        <v>2404</v>
      </c>
      <c r="T2398" s="1">
        <v>4</v>
      </c>
      <c r="V2398" s="1">
        <v>1</v>
      </c>
    </row>
    <row r="2399" spans="1:22" x14ac:dyDescent="0.2">
      <c r="A2399" s="1" t="s">
        <v>2110</v>
      </c>
      <c r="B2399" s="1" t="s">
        <v>2405</v>
      </c>
      <c r="V2399" s="1">
        <v>13</v>
      </c>
    </row>
    <row r="2400" spans="1:22" x14ac:dyDescent="0.2">
      <c r="A2400" s="1" t="s">
        <v>2110</v>
      </c>
      <c r="B2400" s="1" t="s">
        <v>2406</v>
      </c>
      <c r="V2400" s="1">
        <v>1</v>
      </c>
    </row>
    <row r="2401" spans="1:22" x14ac:dyDescent="0.2">
      <c r="A2401" s="1" t="s">
        <v>2110</v>
      </c>
      <c r="B2401" s="1" t="s">
        <v>2407</v>
      </c>
      <c r="V2401" s="1">
        <v>1</v>
      </c>
    </row>
    <row r="2402" spans="1:22" x14ac:dyDescent="0.2">
      <c r="A2402" s="1" t="s">
        <v>2110</v>
      </c>
      <c r="B2402" s="1" t="s">
        <v>2408</v>
      </c>
      <c r="T2402" s="1">
        <v>2</v>
      </c>
      <c r="V2402" s="1">
        <v>0</v>
      </c>
    </row>
    <row r="2403" spans="1:22" x14ac:dyDescent="0.2">
      <c r="A2403" s="1" t="s">
        <v>2110</v>
      </c>
      <c r="B2403" s="1" t="s">
        <v>2409</v>
      </c>
      <c r="T2403" s="1">
        <v>5</v>
      </c>
      <c r="V2403" s="1">
        <v>0</v>
      </c>
    </row>
    <row r="2404" spans="1:22" x14ac:dyDescent="0.2">
      <c r="A2404" s="1" t="s">
        <v>2110</v>
      </c>
      <c r="B2404" s="1" t="s">
        <v>2410</v>
      </c>
      <c r="T2404" s="1">
        <v>1</v>
      </c>
      <c r="V2404" s="1">
        <v>0</v>
      </c>
    </row>
    <row r="2405" spans="1:22" x14ac:dyDescent="0.2">
      <c r="A2405" s="1" t="s">
        <v>2110</v>
      </c>
      <c r="B2405" s="1" t="s">
        <v>2411</v>
      </c>
      <c r="T2405" s="1">
        <f>SUM(T2406:T2409)</f>
        <v>31</v>
      </c>
      <c r="U2405" s="1">
        <f>SUM(U2406:U2409)</f>
        <v>359</v>
      </c>
      <c r="V2405" s="1">
        <f>SUM(V2406:V2409)</f>
        <v>284</v>
      </c>
    </row>
    <row r="2406" spans="1:22" x14ac:dyDescent="0.2">
      <c r="A2406" s="1" t="s">
        <v>2110</v>
      </c>
      <c r="B2406" s="1" t="s">
        <v>2412</v>
      </c>
      <c r="T2406" s="1">
        <v>15</v>
      </c>
      <c r="U2406" s="1">
        <v>331</v>
      </c>
      <c r="V2406" s="1">
        <v>266</v>
      </c>
    </row>
    <row r="2407" spans="1:22" x14ac:dyDescent="0.2">
      <c r="A2407" s="1" t="s">
        <v>2110</v>
      </c>
      <c r="B2407" s="1" t="s">
        <v>2413</v>
      </c>
      <c r="T2407" s="1">
        <v>5</v>
      </c>
      <c r="U2407" s="1">
        <v>17</v>
      </c>
      <c r="V2407" s="1">
        <v>7</v>
      </c>
    </row>
    <row r="2408" spans="1:22" x14ac:dyDescent="0.2">
      <c r="A2408" s="1" t="s">
        <v>2110</v>
      </c>
      <c r="B2408" s="1" t="s">
        <v>2414</v>
      </c>
      <c r="V2408" s="1">
        <v>1</v>
      </c>
    </row>
    <row r="2409" spans="1:22" x14ac:dyDescent="0.2">
      <c r="A2409" s="1" t="s">
        <v>2110</v>
      </c>
      <c r="B2409" s="1" t="s">
        <v>2415</v>
      </c>
      <c r="T2409" s="1">
        <v>11</v>
      </c>
      <c r="U2409" s="1">
        <v>11</v>
      </c>
      <c r="V2409" s="1">
        <v>10</v>
      </c>
    </row>
    <row r="2410" spans="1:22" x14ac:dyDescent="0.2">
      <c r="A2410" s="1" t="s">
        <v>2110</v>
      </c>
      <c r="B2410" s="1" t="s">
        <v>2416</v>
      </c>
      <c r="T2410" s="1">
        <f>SUM(T2411:T2413)</f>
        <v>37</v>
      </c>
      <c r="U2410" s="1">
        <f>SUM(U2411:U2413)</f>
        <v>37</v>
      </c>
      <c r="V2410" s="1">
        <f>SUM(V2411:V2413)</f>
        <v>50</v>
      </c>
    </row>
    <row r="2411" spans="1:22" x14ac:dyDescent="0.2">
      <c r="A2411" s="1" t="s">
        <v>2110</v>
      </c>
      <c r="B2411" s="1" t="s">
        <v>2417</v>
      </c>
      <c r="T2411" s="1">
        <v>16</v>
      </c>
      <c r="U2411" s="1">
        <v>7</v>
      </c>
      <c r="V2411" s="1">
        <v>2</v>
      </c>
    </row>
    <row r="2412" spans="1:22" x14ac:dyDescent="0.2">
      <c r="A2412" s="1" t="s">
        <v>2110</v>
      </c>
      <c r="B2412" s="1" t="s">
        <v>2418</v>
      </c>
      <c r="T2412" s="1">
        <v>21</v>
      </c>
      <c r="U2412" s="1">
        <v>2</v>
      </c>
      <c r="V2412" s="1">
        <v>10</v>
      </c>
    </row>
    <row r="2413" spans="1:22" x14ac:dyDescent="0.2">
      <c r="A2413" s="1" t="s">
        <v>2110</v>
      </c>
      <c r="B2413" s="1" t="s">
        <v>2419</v>
      </c>
      <c r="U2413" s="1">
        <v>28</v>
      </c>
      <c r="V2413" s="1">
        <v>38</v>
      </c>
    </row>
    <row r="2414" spans="1:22" x14ac:dyDescent="0.2">
      <c r="A2414" s="1" t="s">
        <v>2110</v>
      </c>
      <c r="B2414" s="1" t="s">
        <v>2420</v>
      </c>
      <c r="T2414" s="1">
        <f>SUM(T2415:T2422)</f>
        <v>7</v>
      </c>
      <c r="U2414" s="1">
        <f>SUM(U2415:U2422)</f>
        <v>3</v>
      </c>
      <c r="V2414" s="1">
        <f>SUM(V2415:V2422)</f>
        <v>31</v>
      </c>
    </row>
    <row r="2415" spans="1:22" x14ac:dyDescent="0.2">
      <c r="A2415" s="1" t="s">
        <v>2110</v>
      </c>
      <c r="B2415" s="1" t="s">
        <v>2421</v>
      </c>
      <c r="T2415" s="1">
        <v>1</v>
      </c>
      <c r="U2415" s="1">
        <v>1</v>
      </c>
      <c r="V2415" s="1">
        <v>7</v>
      </c>
    </row>
    <row r="2416" spans="1:22" x14ac:dyDescent="0.2">
      <c r="A2416" s="1" t="s">
        <v>2110</v>
      </c>
      <c r="B2416" s="1" t="s">
        <v>2422</v>
      </c>
      <c r="T2416" s="1">
        <v>1</v>
      </c>
      <c r="V2416" s="1">
        <v>1</v>
      </c>
    </row>
    <row r="2417" spans="1:22" x14ac:dyDescent="0.2">
      <c r="A2417" s="1" t="s">
        <v>2110</v>
      </c>
      <c r="B2417" s="1" t="s">
        <v>2423</v>
      </c>
      <c r="V2417" s="1">
        <v>6</v>
      </c>
    </row>
    <row r="2418" spans="1:22" x14ac:dyDescent="0.2">
      <c r="A2418" s="1" t="s">
        <v>2110</v>
      </c>
      <c r="B2418" s="1" t="s">
        <v>2424</v>
      </c>
      <c r="V2418" s="1">
        <v>3</v>
      </c>
    </row>
    <row r="2419" spans="1:22" x14ac:dyDescent="0.2">
      <c r="A2419" s="1" t="s">
        <v>2110</v>
      </c>
      <c r="B2419" s="1" t="s">
        <v>2425</v>
      </c>
      <c r="V2419" s="1">
        <v>0</v>
      </c>
    </row>
    <row r="2420" spans="1:22" x14ac:dyDescent="0.2">
      <c r="A2420" s="1" t="s">
        <v>2110</v>
      </c>
      <c r="B2420" s="1" t="s">
        <v>2426</v>
      </c>
      <c r="T2420" s="1">
        <v>2</v>
      </c>
      <c r="U2420" s="1">
        <v>1</v>
      </c>
      <c r="V2420" s="1">
        <v>12</v>
      </c>
    </row>
    <row r="2421" spans="1:22" x14ac:dyDescent="0.2">
      <c r="A2421" s="1" t="s">
        <v>2110</v>
      </c>
      <c r="B2421" s="1" t="s">
        <v>2427</v>
      </c>
      <c r="T2421" s="1">
        <v>2</v>
      </c>
      <c r="V2421" s="1">
        <v>0</v>
      </c>
    </row>
    <row r="2422" spans="1:22" x14ac:dyDescent="0.2">
      <c r="A2422" s="1" t="s">
        <v>2110</v>
      </c>
      <c r="B2422" s="1" t="s">
        <v>2428</v>
      </c>
      <c r="T2422" s="1">
        <v>1</v>
      </c>
      <c r="U2422" s="1">
        <v>1</v>
      </c>
      <c r="V2422" s="1">
        <v>2</v>
      </c>
    </row>
    <row r="2423" spans="1:22" x14ac:dyDescent="0.2">
      <c r="A2423" s="1" t="s">
        <v>2110</v>
      </c>
      <c r="B2423" s="1" t="s">
        <v>2429</v>
      </c>
      <c r="T2423" s="1">
        <f>SUM(T2424:T2425)</f>
        <v>0</v>
      </c>
      <c r="U2423" s="1">
        <f>SUM(U2424:U2425)</f>
        <v>2</v>
      </c>
      <c r="V2423" s="1">
        <f>SUM(V2424:V2425)</f>
        <v>1</v>
      </c>
    </row>
    <row r="2424" spans="1:22" x14ac:dyDescent="0.2">
      <c r="A2424" s="1" t="s">
        <v>2110</v>
      </c>
      <c r="B2424" s="1" t="s">
        <v>2430</v>
      </c>
      <c r="U2424" s="1">
        <v>2</v>
      </c>
      <c r="V2424" s="1">
        <v>0</v>
      </c>
    </row>
    <row r="2425" spans="1:22" x14ac:dyDescent="0.2">
      <c r="A2425" s="1" t="s">
        <v>2110</v>
      </c>
      <c r="B2425" s="1" t="s">
        <v>2431</v>
      </c>
      <c r="V2425" s="1">
        <v>1</v>
      </c>
    </row>
    <row r="2426" spans="1:22" x14ac:dyDescent="0.2">
      <c r="A2426" s="1" t="s">
        <v>2110</v>
      </c>
      <c r="B2426" s="1" t="s">
        <v>2432</v>
      </c>
      <c r="T2426" s="1">
        <f>SUM(T2427:T2428)</f>
        <v>0</v>
      </c>
      <c r="U2426" s="1">
        <f>SUM(U2427:U2428)</f>
        <v>8</v>
      </c>
      <c r="V2426" s="1">
        <f>SUM(V2427:V2428)</f>
        <v>20</v>
      </c>
    </row>
    <row r="2427" spans="1:22" x14ac:dyDescent="0.2">
      <c r="A2427" s="1" t="s">
        <v>2110</v>
      </c>
      <c r="B2427" s="1" t="s">
        <v>2433</v>
      </c>
      <c r="U2427" s="1">
        <v>1</v>
      </c>
      <c r="V2427" s="1">
        <v>1</v>
      </c>
    </row>
    <row r="2428" spans="1:22" x14ac:dyDescent="0.2">
      <c r="A2428" s="1" t="s">
        <v>2110</v>
      </c>
      <c r="B2428" s="1" t="s">
        <v>2434</v>
      </c>
      <c r="U2428" s="1">
        <v>7</v>
      </c>
      <c r="V2428" s="1">
        <v>19</v>
      </c>
    </row>
    <row r="2429" spans="1:22" x14ac:dyDescent="0.2">
      <c r="A2429" s="1" t="s">
        <v>2110</v>
      </c>
      <c r="B2429" s="1" t="s">
        <v>2435</v>
      </c>
      <c r="T2429" s="1">
        <f>SUM(T2430)</f>
        <v>0</v>
      </c>
      <c r="U2429" s="1">
        <f>SUM(U2430)</f>
        <v>3</v>
      </c>
      <c r="V2429" s="1">
        <f>SUM(V2430)</f>
        <v>0</v>
      </c>
    </row>
    <row r="2430" spans="1:22" x14ac:dyDescent="0.2">
      <c r="A2430" s="1" t="s">
        <v>2110</v>
      </c>
      <c r="B2430" s="1" t="s">
        <v>2436</v>
      </c>
      <c r="U2430" s="1">
        <v>3</v>
      </c>
      <c r="V2430" s="1">
        <v>0</v>
      </c>
    </row>
    <row r="2431" spans="1:22" x14ac:dyDescent="0.2">
      <c r="A2431" s="1" t="s">
        <v>2110</v>
      </c>
      <c r="B2431" s="1" t="s">
        <v>2437</v>
      </c>
      <c r="T2431" s="1">
        <f>SUM(T2432)</f>
        <v>0</v>
      </c>
      <c r="U2431" s="1">
        <f>SUM(U2432)</f>
        <v>2</v>
      </c>
      <c r="V2431" s="1">
        <f>SUM(V2432)</f>
        <v>1</v>
      </c>
    </row>
    <row r="2432" spans="1:22" x14ac:dyDescent="0.2">
      <c r="A2432" s="1" t="s">
        <v>2110</v>
      </c>
      <c r="B2432" s="1" t="s">
        <v>2438</v>
      </c>
      <c r="U2432" s="1">
        <v>2</v>
      </c>
      <c r="V2432" s="1">
        <v>1</v>
      </c>
    </row>
    <row r="2433" spans="1:22" x14ac:dyDescent="0.2">
      <c r="A2433" s="1" t="s">
        <v>2110</v>
      </c>
      <c r="B2433" s="1" t="s">
        <v>2439</v>
      </c>
      <c r="T2433" s="1">
        <f>SUM(T2434:T2435)</f>
        <v>1</v>
      </c>
      <c r="U2433" s="1">
        <f>SUM(U2434:U2435)</f>
        <v>6</v>
      </c>
      <c r="V2433" s="1">
        <f>SUM(V2434:V2435)</f>
        <v>12</v>
      </c>
    </row>
    <row r="2434" spans="1:22" x14ac:dyDescent="0.2">
      <c r="A2434" s="1" t="s">
        <v>2110</v>
      </c>
      <c r="B2434" s="1" t="s">
        <v>2440</v>
      </c>
      <c r="T2434" s="1">
        <v>1</v>
      </c>
      <c r="U2434" s="1">
        <v>6</v>
      </c>
      <c r="V2434" s="1">
        <v>11</v>
      </c>
    </row>
    <row r="2435" spans="1:22" x14ac:dyDescent="0.2">
      <c r="A2435" s="1" t="s">
        <v>2110</v>
      </c>
      <c r="B2435" s="1" t="s">
        <v>2441</v>
      </c>
      <c r="V2435" s="1">
        <v>1</v>
      </c>
    </row>
    <row r="2436" spans="1:22" x14ac:dyDescent="0.2">
      <c r="A2436" s="1" t="s">
        <v>2110</v>
      </c>
      <c r="B2436" s="1" t="s">
        <v>2442</v>
      </c>
      <c r="T2436" s="1">
        <f>SUM(T2437)</f>
        <v>1</v>
      </c>
      <c r="U2436" s="1">
        <f>SUM(U2437)</f>
        <v>0</v>
      </c>
      <c r="V2436" s="1">
        <f>SUM(V2437)</f>
        <v>0</v>
      </c>
    </row>
    <row r="2437" spans="1:22" x14ac:dyDescent="0.2">
      <c r="A2437" s="1" t="s">
        <v>2110</v>
      </c>
      <c r="B2437" s="1" t="s">
        <v>2443</v>
      </c>
      <c r="T2437" s="1">
        <v>1</v>
      </c>
      <c r="U2437" s="1">
        <v>0</v>
      </c>
      <c r="V2437" s="1">
        <v>0</v>
      </c>
    </row>
    <row r="2438" spans="1:22" x14ac:dyDescent="0.2">
      <c r="A2438" s="1" t="s">
        <v>2110</v>
      </c>
      <c r="B2438" s="1" t="s">
        <v>2444</v>
      </c>
      <c r="T2438" s="1">
        <f>SUM(T2439:T2452)</f>
        <v>34</v>
      </c>
      <c r="U2438" s="1">
        <f>SUM(U2439:U2452)</f>
        <v>25</v>
      </c>
      <c r="V2438" s="1">
        <f>SUM(V2439:V2452)</f>
        <v>39</v>
      </c>
    </row>
    <row r="2439" spans="1:22" x14ac:dyDescent="0.2">
      <c r="A2439" s="1" t="s">
        <v>2110</v>
      </c>
      <c r="B2439" s="1" t="s">
        <v>2445</v>
      </c>
      <c r="T2439" s="1">
        <v>21</v>
      </c>
      <c r="U2439" s="1">
        <v>20</v>
      </c>
      <c r="V2439" s="1">
        <v>28</v>
      </c>
    </row>
    <row r="2440" spans="1:22" x14ac:dyDescent="0.2">
      <c r="A2440" s="1" t="s">
        <v>2110</v>
      </c>
      <c r="B2440" s="1" t="s">
        <v>2446</v>
      </c>
      <c r="V2440" s="1">
        <v>2</v>
      </c>
    </row>
    <row r="2441" spans="1:22" x14ac:dyDescent="0.2">
      <c r="A2441" s="1" t="s">
        <v>2110</v>
      </c>
      <c r="B2441" s="1" t="s">
        <v>2447</v>
      </c>
      <c r="T2441" s="1">
        <v>1</v>
      </c>
      <c r="V2441" s="1">
        <v>0</v>
      </c>
    </row>
    <row r="2442" spans="1:22" x14ac:dyDescent="0.2">
      <c r="A2442" s="1" t="s">
        <v>2110</v>
      </c>
      <c r="B2442" s="1" t="s">
        <v>2448</v>
      </c>
      <c r="T2442" s="1">
        <v>1</v>
      </c>
      <c r="V2442" s="1">
        <v>0</v>
      </c>
    </row>
    <row r="2443" spans="1:22" x14ac:dyDescent="0.2">
      <c r="A2443" s="1" t="s">
        <v>2110</v>
      </c>
      <c r="B2443" s="1" t="s">
        <v>2449</v>
      </c>
      <c r="T2443" s="1">
        <v>1</v>
      </c>
      <c r="V2443" s="1">
        <v>1</v>
      </c>
    </row>
    <row r="2444" spans="1:22" x14ac:dyDescent="0.2">
      <c r="A2444" s="1" t="s">
        <v>2110</v>
      </c>
      <c r="B2444" s="1" t="s">
        <v>2450</v>
      </c>
      <c r="T2444" s="1">
        <v>2</v>
      </c>
      <c r="V2444" s="1">
        <v>0</v>
      </c>
    </row>
    <row r="2445" spans="1:22" x14ac:dyDescent="0.2">
      <c r="A2445" s="1" t="s">
        <v>2110</v>
      </c>
      <c r="B2445" s="1" t="s">
        <v>2451</v>
      </c>
      <c r="T2445" s="1">
        <v>1</v>
      </c>
      <c r="V2445" s="1">
        <v>0</v>
      </c>
    </row>
    <row r="2446" spans="1:22" x14ac:dyDescent="0.2">
      <c r="A2446" s="1" t="s">
        <v>2110</v>
      </c>
      <c r="B2446" s="1" t="s">
        <v>2452</v>
      </c>
      <c r="T2446" s="1">
        <v>2</v>
      </c>
      <c r="V2446" s="1">
        <v>0</v>
      </c>
    </row>
    <row r="2447" spans="1:22" x14ac:dyDescent="0.2">
      <c r="A2447" s="1" t="s">
        <v>2110</v>
      </c>
      <c r="B2447" s="1" t="s">
        <v>2453</v>
      </c>
      <c r="V2447" s="1">
        <v>1</v>
      </c>
    </row>
    <row r="2448" spans="1:22" x14ac:dyDescent="0.2">
      <c r="A2448" s="1" t="s">
        <v>2110</v>
      </c>
      <c r="B2448" s="1" t="s">
        <v>2454</v>
      </c>
      <c r="V2448" s="1">
        <v>1</v>
      </c>
    </row>
    <row r="2449" spans="1:22" x14ac:dyDescent="0.2">
      <c r="A2449" s="1" t="s">
        <v>2110</v>
      </c>
      <c r="B2449" s="1" t="s">
        <v>2455</v>
      </c>
      <c r="T2449" s="1">
        <v>1</v>
      </c>
      <c r="V2449" s="1">
        <v>0</v>
      </c>
    </row>
    <row r="2450" spans="1:22" x14ac:dyDescent="0.2">
      <c r="A2450" s="1" t="s">
        <v>2110</v>
      </c>
      <c r="B2450" s="1" t="s">
        <v>2456</v>
      </c>
      <c r="U2450" s="1">
        <v>1</v>
      </c>
      <c r="V2450" s="1">
        <v>3</v>
      </c>
    </row>
    <row r="2451" spans="1:22" x14ac:dyDescent="0.2">
      <c r="A2451" s="1" t="s">
        <v>2110</v>
      </c>
      <c r="B2451" s="1" t="s">
        <v>2457</v>
      </c>
      <c r="V2451" s="1">
        <v>1</v>
      </c>
    </row>
    <row r="2452" spans="1:22" x14ac:dyDescent="0.2">
      <c r="A2452" s="1" t="s">
        <v>2110</v>
      </c>
      <c r="B2452" s="1" t="s">
        <v>2458</v>
      </c>
      <c r="T2452" s="1">
        <v>4</v>
      </c>
      <c r="U2452" s="1">
        <v>4</v>
      </c>
      <c r="V2452" s="1">
        <v>2</v>
      </c>
    </row>
    <row r="2453" spans="1:22" x14ac:dyDescent="0.2">
      <c r="A2453" s="1" t="s">
        <v>2110</v>
      </c>
      <c r="B2453" s="1" t="s">
        <v>2459</v>
      </c>
      <c r="T2453" s="1">
        <f>SUM(T2454:T2465)</f>
        <v>13</v>
      </c>
      <c r="U2453" s="1">
        <f>SUM(U2454:U2465)</f>
        <v>14</v>
      </c>
      <c r="V2453" s="1">
        <f>SUM(V2454:V2465)</f>
        <v>14</v>
      </c>
    </row>
    <row r="2454" spans="1:22" x14ac:dyDescent="0.2">
      <c r="A2454" s="1" t="s">
        <v>2110</v>
      </c>
      <c r="B2454" s="1" t="s">
        <v>2460</v>
      </c>
      <c r="U2454" s="1">
        <v>2</v>
      </c>
      <c r="V2454" s="1">
        <v>5</v>
      </c>
    </row>
    <row r="2455" spans="1:22" x14ac:dyDescent="0.2">
      <c r="A2455" s="1" t="s">
        <v>2110</v>
      </c>
      <c r="B2455" s="1" t="s">
        <v>2461</v>
      </c>
      <c r="T2455" s="1">
        <v>1</v>
      </c>
      <c r="V2455" s="1">
        <v>0</v>
      </c>
    </row>
    <row r="2456" spans="1:22" x14ac:dyDescent="0.2">
      <c r="A2456" s="1" t="s">
        <v>2110</v>
      </c>
      <c r="B2456" s="1" t="s">
        <v>2462</v>
      </c>
      <c r="V2456" s="1">
        <v>1</v>
      </c>
    </row>
    <row r="2457" spans="1:22" x14ac:dyDescent="0.2">
      <c r="A2457" s="1" t="s">
        <v>2110</v>
      </c>
      <c r="B2457" s="1" t="s">
        <v>2463</v>
      </c>
      <c r="U2457" s="1">
        <v>2</v>
      </c>
      <c r="V2457" s="1">
        <v>1</v>
      </c>
    </row>
    <row r="2458" spans="1:22" x14ac:dyDescent="0.2">
      <c r="A2458" s="1" t="s">
        <v>2110</v>
      </c>
      <c r="B2458" s="1" t="s">
        <v>2464</v>
      </c>
      <c r="V2458" s="1">
        <v>1</v>
      </c>
    </row>
    <row r="2459" spans="1:22" x14ac:dyDescent="0.2">
      <c r="A2459" s="1" t="s">
        <v>2110</v>
      </c>
      <c r="B2459" s="1" t="s">
        <v>2465</v>
      </c>
      <c r="U2459" s="1">
        <v>1</v>
      </c>
      <c r="V2459" s="1">
        <v>0</v>
      </c>
    </row>
    <row r="2460" spans="1:22" x14ac:dyDescent="0.2">
      <c r="A2460" s="1" t="s">
        <v>2110</v>
      </c>
      <c r="B2460" s="1" t="s">
        <v>2466</v>
      </c>
      <c r="T2460" s="1">
        <v>8</v>
      </c>
      <c r="U2460" s="1">
        <v>1</v>
      </c>
      <c r="V2460" s="1">
        <v>0</v>
      </c>
    </row>
    <row r="2461" spans="1:22" x14ac:dyDescent="0.2">
      <c r="A2461" s="1" t="s">
        <v>2110</v>
      </c>
      <c r="B2461" s="1" t="s">
        <v>2467</v>
      </c>
      <c r="U2461" s="1">
        <v>5</v>
      </c>
      <c r="V2461" s="1">
        <v>5</v>
      </c>
    </row>
    <row r="2462" spans="1:22" x14ac:dyDescent="0.2">
      <c r="A2462" s="1" t="s">
        <v>2110</v>
      </c>
      <c r="B2462" s="1" t="s">
        <v>2468</v>
      </c>
      <c r="T2462" s="1">
        <v>3</v>
      </c>
      <c r="U2462" s="1">
        <v>2</v>
      </c>
      <c r="V2462" s="1">
        <v>0</v>
      </c>
    </row>
    <row r="2463" spans="1:22" x14ac:dyDescent="0.2">
      <c r="A2463" s="1" t="s">
        <v>2110</v>
      </c>
      <c r="B2463" s="1" t="s">
        <v>2469</v>
      </c>
      <c r="T2463" s="1">
        <v>1</v>
      </c>
      <c r="V2463" s="1">
        <v>0</v>
      </c>
    </row>
    <row r="2464" spans="1:22" x14ac:dyDescent="0.2">
      <c r="A2464" s="1" t="s">
        <v>2110</v>
      </c>
      <c r="B2464" s="1" t="s">
        <v>2470</v>
      </c>
      <c r="V2464" s="1">
        <v>1</v>
      </c>
    </row>
    <row r="2465" spans="1:25" x14ac:dyDescent="0.2">
      <c r="A2465" s="1" t="s">
        <v>2110</v>
      </c>
      <c r="B2465" s="1" t="s">
        <v>2471</v>
      </c>
      <c r="U2465" s="1">
        <v>1</v>
      </c>
      <c r="V2465" s="1">
        <v>0</v>
      </c>
    </row>
    <row r="2466" spans="1:25" x14ac:dyDescent="0.2">
      <c r="A2466" s="1" t="s">
        <v>2110</v>
      </c>
      <c r="B2466" s="1" t="s">
        <v>2472</v>
      </c>
      <c r="M2466" s="1">
        <f>M2467+M2468</f>
        <v>1658</v>
      </c>
      <c r="N2466" s="1">
        <f t="shared" ref="N2466:V2466" si="320">N2467+N2468</f>
        <v>1808</v>
      </c>
      <c r="O2466" s="1">
        <f t="shared" si="320"/>
        <v>1769</v>
      </c>
      <c r="P2466" s="1">
        <f t="shared" si="320"/>
        <v>1536</v>
      </c>
      <c r="Q2466" s="1">
        <f t="shared" si="320"/>
        <v>1775</v>
      </c>
      <c r="R2466" s="1">
        <f t="shared" si="320"/>
        <v>1586</v>
      </c>
      <c r="S2466" s="1">
        <f t="shared" si="320"/>
        <v>1588</v>
      </c>
      <c r="T2466" s="1">
        <f t="shared" si="320"/>
        <v>1865</v>
      </c>
      <c r="U2466" s="1">
        <f t="shared" si="320"/>
        <v>2293</v>
      </c>
      <c r="V2466" s="1">
        <f t="shared" si="320"/>
        <v>2440</v>
      </c>
      <c r="W2466" s="5"/>
      <c r="X2466" s="5"/>
      <c r="Y2466" s="5"/>
    </row>
    <row r="2467" spans="1:25" x14ac:dyDescent="0.2">
      <c r="A2467" s="1" t="s">
        <v>2110</v>
      </c>
      <c r="B2467" s="1" t="s">
        <v>2473</v>
      </c>
      <c r="M2467" s="1">
        <v>1577</v>
      </c>
      <c r="N2467" s="1">
        <v>1694</v>
      </c>
      <c r="O2467" s="1">
        <v>1664</v>
      </c>
      <c r="P2467" s="1">
        <v>1453</v>
      </c>
      <c r="Q2467" s="1">
        <v>1676</v>
      </c>
      <c r="R2467" s="1">
        <v>1488</v>
      </c>
      <c r="S2467" s="1">
        <v>1489</v>
      </c>
      <c r="T2467" s="1">
        <v>1727</v>
      </c>
      <c r="U2467" s="1">
        <v>2125</v>
      </c>
      <c r="V2467" s="1">
        <v>2245</v>
      </c>
      <c r="W2467" s="5"/>
      <c r="X2467" s="5"/>
      <c r="Y2467" s="5"/>
    </row>
    <row r="2468" spans="1:25" x14ac:dyDescent="0.2">
      <c r="A2468" s="1" t="s">
        <v>2110</v>
      </c>
      <c r="B2468" s="1" t="s">
        <v>2474</v>
      </c>
      <c r="M2468" s="1">
        <v>81</v>
      </c>
      <c r="N2468" s="1">
        <v>114</v>
      </c>
      <c r="O2468" s="1">
        <v>105</v>
      </c>
      <c r="P2468" s="1">
        <v>83</v>
      </c>
      <c r="Q2468" s="1">
        <v>99</v>
      </c>
      <c r="R2468" s="1">
        <v>98</v>
      </c>
      <c r="S2468" s="1">
        <v>99</v>
      </c>
      <c r="T2468" s="1">
        <v>138</v>
      </c>
      <c r="U2468" s="1">
        <v>168</v>
      </c>
      <c r="V2468" s="1">
        <v>195</v>
      </c>
      <c r="W2468" s="5"/>
      <c r="X2468" s="5"/>
      <c r="Y2468" s="5"/>
    </row>
    <row r="2469" spans="1:25" x14ac:dyDescent="0.2">
      <c r="A2469" s="1" t="s">
        <v>2110</v>
      </c>
      <c r="B2469" s="1" t="s">
        <v>2475</v>
      </c>
      <c r="M2469" s="1">
        <v>323</v>
      </c>
      <c r="N2469" s="1">
        <v>444</v>
      </c>
      <c r="O2469" s="1">
        <v>465</v>
      </c>
      <c r="P2469" s="1">
        <v>386</v>
      </c>
      <c r="Q2469" s="1">
        <v>509</v>
      </c>
      <c r="R2469" s="1">
        <v>442</v>
      </c>
      <c r="S2469" s="1">
        <v>392</v>
      </c>
      <c r="T2469" s="1">
        <v>494</v>
      </c>
      <c r="U2469" s="1">
        <v>518</v>
      </c>
      <c r="V2469" s="1">
        <v>706</v>
      </c>
      <c r="W2469" s="5"/>
      <c r="X2469" s="5"/>
      <c r="Y2469" s="5"/>
    </row>
    <row r="2470" spans="1:25" x14ac:dyDescent="0.2">
      <c r="A2470" s="1" t="s">
        <v>2110</v>
      </c>
      <c r="B2470" s="1" t="s">
        <v>2476</v>
      </c>
      <c r="M2470" s="1">
        <v>1335</v>
      </c>
      <c r="N2470" s="1">
        <v>1364</v>
      </c>
      <c r="O2470" s="1">
        <v>1304</v>
      </c>
      <c r="P2470" s="1">
        <v>1150</v>
      </c>
      <c r="Q2470" s="1">
        <v>1266</v>
      </c>
      <c r="R2470" s="1">
        <v>1144</v>
      </c>
      <c r="S2470" s="1">
        <v>1196</v>
      </c>
      <c r="T2470" s="1">
        <v>1371</v>
      </c>
      <c r="U2470" s="1">
        <v>1775</v>
      </c>
      <c r="V2470" s="1">
        <v>1734</v>
      </c>
      <c r="W2470" s="5"/>
      <c r="X2470" s="5"/>
      <c r="Y2470" s="5"/>
    </row>
    <row r="2471" spans="1:25" x14ac:dyDescent="0.2">
      <c r="A2471" s="1" t="s">
        <v>2110</v>
      </c>
      <c r="B2471" s="1" t="s">
        <v>2477</v>
      </c>
      <c r="M2471" s="1">
        <v>254</v>
      </c>
      <c r="N2471" s="1">
        <v>358</v>
      </c>
      <c r="O2471" s="1">
        <v>288</v>
      </c>
      <c r="P2471" s="1">
        <v>225</v>
      </c>
      <c r="Q2471" s="1">
        <v>285</v>
      </c>
      <c r="R2471" s="1">
        <v>237</v>
      </c>
      <c r="S2471" s="1">
        <v>292</v>
      </c>
      <c r="T2471" s="1">
        <v>304</v>
      </c>
      <c r="U2471" s="1">
        <v>348</v>
      </c>
      <c r="V2471" s="1">
        <v>331</v>
      </c>
      <c r="W2471" s="5"/>
      <c r="X2471" s="5"/>
      <c r="Y2471" s="5"/>
    </row>
    <row r="2472" spans="1:25" x14ac:dyDescent="0.2">
      <c r="A2472" s="1" t="s">
        <v>2110</v>
      </c>
      <c r="B2472" s="1" t="s">
        <v>2478</v>
      </c>
      <c r="M2472" s="1">
        <v>281</v>
      </c>
      <c r="N2472" s="1">
        <v>234</v>
      </c>
      <c r="O2472" s="1">
        <v>286</v>
      </c>
      <c r="P2472" s="1">
        <v>232</v>
      </c>
      <c r="Q2472" s="1">
        <v>257</v>
      </c>
      <c r="R2472" s="1">
        <v>239</v>
      </c>
      <c r="S2472" s="1">
        <v>256</v>
      </c>
      <c r="T2472" s="1">
        <v>278</v>
      </c>
      <c r="U2472" s="1">
        <v>380</v>
      </c>
      <c r="V2472" s="1">
        <v>295</v>
      </c>
      <c r="W2472" s="5"/>
      <c r="X2472" s="5"/>
      <c r="Y2472" s="5"/>
    </row>
    <row r="2473" spans="1:25" x14ac:dyDescent="0.2">
      <c r="A2473" s="1" t="s">
        <v>2110</v>
      </c>
      <c r="B2473" s="1" t="s">
        <v>2479</v>
      </c>
      <c r="M2473" s="1">
        <v>226</v>
      </c>
      <c r="N2473" s="1">
        <v>232</v>
      </c>
      <c r="O2473" s="1">
        <v>225</v>
      </c>
      <c r="P2473" s="1">
        <v>251</v>
      </c>
      <c r="Q2473" s="1">
        <v>239</v>
      </c>
      <c r="R2473" s="1">
        <v>211</v>
      </c>
      <c r="S2473" s="1">
        <v>190</v>
      </c>
      <c r="T2473" s="1">
        <v>196</v>
      </c>
      <c r="U2473" s="1">
        <v>261</v>
      </c>
      <c r="V2473" s="1">
        <v>233</v>
      </c>
      <c r="W2473" s="5"/>
      <c r="X2473" s="5"/>
      <c r="Y2473" s="5"/>
    </row>
    <row r="2474" spans="1:25" x14ac:dyDescent="0.2">
      <c r="A2474" s="1" t="s">
        <v>2110</v>
      </c>
      <c r="B2474" s="1" t="s">
        <v>2480</v>
      </c>
      <c r="M2474" s="1">
        <v>407</v>
      </c>
      <c r="N2474" s="1">
        <v>488</v>
      </c>
      <c r="O2474" s="1">
        <v>477</v>
      </c>
      <c r="P2474" s="1">
        <v>414</v>
      </c>
      <c r="Q2474" s="1">
        <v>474</v>
      </c>
      <c r="R2474" s="1">
        <v>432</v>
      </c>
      <c r="S2474" s="1">
        <v>413</v>
      </c>
      <c r="T2474" s="1">
        <v>459</v>
      </c>
      <c r="U2474" s="1">
        <v>554</v>
      </c>
      <c r="V2474" s="1">
        <v>603</v>
      </c>
      <c r="W2474" s="5"/>
      <c r="X2474" s="5"/>
      <c r="Y2474" s="5"/>
    </row>
    <row r="2475" spans="1:25" x14ac:dyDescent="0.2">
      <c r="A2475" s="1" t="s">
        <v>2110</v>
      </c>
      <c r="B2475" s="1" t="s">
        <v>2481</v>
      </c>
      <c r="M2475" s="1">
        <v>200</v>
      </c>
      <c r="N2475" s="1">
        <v>224</v>
      </c>
      <c r="O2475" s="1">
        <v>243</v>
      </c>
      <c r="P2475" s="1">
        <v>241</v>
      </c>
      <c r="Q2475" s="1">
        <v>286</v>
      </c>
      <c r="R2475" s="1">
        <v>243</v>
      </c>
      <c r="S2475" s="1">
        <v>218</v>
      </c>
      <c r="T2475" s="1">
        <v>282</v>
      </c>
      <c r="U2475" s="1">
        <v>347</v>
      </c>
      <c r="V2475" s="1">
        <v>376</v>
      </c>
      <c r="W2475" s="5"/>
      <c r="X2475" s="5"/>
      <c r="Y2475" s="5"/>
    </row>
    <row r="2476" spans="1:25" x14ac:dyDescent="0.2">
      <c r="A2476" s="1" t="s">
        <v>2110</v>
      </c>
      <c r="B2476" s="1" t="s">
        <v>2482</v>
      </c>
      <c r="M2476" s="1">
        <v>113</v>
      </c>
      <c r="N2476" s="1">
        <v>122</v>
      </c>
      <c r="O2476" s="1">
        <v>128</v>
      </c>
      <c r="P2476" s="1">
        <v>87</v>
      </c>
      <c r="Q2476" s="1">
        <v>87</v>
      </c>
      <c r="R2476" s="1">
        <v>123</v>
      </c>
      <c r="S2476" s="1">
        <v>97</v>
      </c>
      <c r="T2476" s="1">
        <v>163</v>
      </c>
      <c r="U2476" s="1">
        <v>159</v>
      </c>
      <c r="V2476" s="1">
        <v>210</v>
      </c>
      <c r="W2476" s="5"/>
      <c r="X2476" s="5"/>
      <c r="Y2476" s="5"/>
    </row>
    <row r="2477" spans="1:25" x14ac:dyDescent="0.2">
      <c r="A2477" s="1" t="s">
        <v>2110</v>
      </c>
      <c r="B2477" s="1" t="s">
        <v>2483</v>
      </c>
      <c r="M2477" s="1">
        <v>87</v>
      </c>
      <c r="N2477" s="1">
        <v>80</v>
      </c>
      <c r="O2477" s="1">
        <v>93</v>
      </c>
      <c r="P2477" s="1">
        <v>48</v>
      </c>
      <c r="Q2477" s="1">
        <v>91</v>
      </c>
      <c r="R2477" s="1">
        <v>61</v>
      </c>
      <c r="S2477" s="1">
        <v>93</v>
      </c>
      <c r="T2477" s="1">
        <v>141</v>
      </c>
      <c r="U2477" s="1">
        <v>161</v>
      </c>
      <c r="V2477" s="1">
        <v>271</v>
      </c>
      <c r="W2477" s="5"/>
      <c r="X2477" s="5"/>
      <c r="Y2477" s="5"/>
    </row>
    <row r="2478" spans="1:25" x14ac:dyDescent="0.2">
      <c r="A2478" s="1" t="s">
        <v>2110</v>
      </c>
      <c r="B2478" s="1" t="s">
        <v>2484</v>
      </c>
      <c r="M2478" s="1">
        <v>54</v>
      </c>
      <c r="N2478" s="1">
        <v>44</v>
      </c>
      <c r="O2478" s="1">
        <v>15</v>
      </c>
      <c r="P2478" s="1">
        <v>33</v>
      </c>
      <c r="Q2478" s="1">
        <v>26</v>
      </c>
      <c r="R2478" s="1">
        <v>20</v>
      </c>
      <c r="S2478" s="1">
        <v>24</v>
      </c>
      <c r="T2478" s="1">
        <v>31</v>
      </c>
      <c r="U2478" s="1">
        <v>56</v>
      </c>
      <c r="V2478" s="1">
        <v>73</v>
      </c>
      <c r="W2478" s="5"/>
      <c r="X2478" s="5"/>
      <c r="Y2478" s="5"/>
    </row>
    <row r="2479" spans="1:25" x14ac:dyDescent="0.2">
      <c r="A2479" s="1" t="s">
        <v>2110</v>
      </c>
      <c r="B2479" s="1" t="s">
        <v>2485</v>
      </c>
      <c r="M2479" s="1">
        <v>15</v>
      </c>
      <c r="N2479" s="1">
        <v>13</v>
      </c>
      <c r="O2479" s="1">
        <v>14</v>
      </c>
      <c r="P2479" s="1">
        <v>0</v>
      </c>
      <c r="Q2479" s="1">
        <v>2</v>
      </c>
      <c r="R2479" s="1">
        <v>18</v>
      </c>
      <c r="S2479" s="1">
        <v>5</v>
      </c>
      <c r="T2479" s="1">
        <v>0</v>
      </c>
      <c r="U2479" s="1">
        <v>22</v>
      </c>
      <c r="V2479" s="1">
        <v>29</v>
      </c>
      <c r="W2479" s="5"/>
      <c r="X2479" s="5"/>
      <c r="Y2479" s="5"/>
    </row>
    <row r="2480" spans="1:25" x14ac:dyDescent="0.2">
      <c r="A2480" s="1" t="s">
        <v>2110</v>
      </c>
      <c r="B2480" s="1" t="s">
        <v>2486</v>
      </c>
      <c r="M2480" s="1">
        <v>21</v>
      </c>
      <c r="N2480" s="1">
        <v>13</v>
      </c>
      <c r="O2480" s="1">
        <v>0</v>
      </c>
      <c r="P2480" s="1">
        <v>5</v>
      </c>
      <c r="Q2480" s="1">
        <v>28</v>
      </c>
      <c r="R2480" s="1">
        <v>2</v>
      </c>
      <c r="S2480" s="1">
        <v>0</v>
      </c>
      <c r="T2480" s="1">
        <v>11</v>
      </c>
      <c r="U2480" s="1">
        <v>5</v>
      </c>
      <c r="V2480" s="1">
        <v>19</v>
      </c>
      <c r="W2480" s="5"/>
      <c r="X2480" s="5"/>
      <c r="Y2480" s="5"/>
    </row>
    <row r="2481" spans="1:25" x14ac:dyDescent="0.2">
      <c r="A2481" s="1" t="s">
        <v>2110</v>
      </c>
      <c r="B2481" s="1" t="s">
        <v>2487</v>
      </c>
      <c r="M2481" s="1">
        <f>M2482+M2483</f>
        <v>0</v>
      </c>
      <c r="N2481" s="1">
        <f t="shared" ref="N2481:V2481" si="321">N2482+N2483</f>
        <v>0</v>
      </c>
      <c r="O2481" s="1">
        <f t="shared" si="321"/>
        <v>0</v>
      </c>
      <c r="P2481" s="1">
        <f t="shared" si="321"/>
        <v>0</v>
      </c>
      <c r="Q2481" s="1">
        <f t="shared" si="321"/>
        <v>733</v>
      </c>
      <c r="R2481" s="1">
        <f t="shared" si="321"/>
        <v>633</v>
      </c>
      <c r="S2481" s="1">
        <f t="shared" si="321"/>
        <v>728</v>
      </c>
      <c r="T2481" s="1">
        <f t="shared" si="321"/>
        <v>674</v>
      </c>
      <c r="U2481" s="1">
        <f t="shared" si="321"/>
        <v>775</v>
      </c>
      <c r="V2481" s="1">
        <f t="shared" si="321"/>
        <v>752</v>
      </c>
      <c r="W2481" s="5"/>
      <c r="X2481" s="5"/>
      <c r="Y2481" s="5"/>
    </row>
    <row r="2482" spans="1:25" x14ac:dyDescent="0.2">
      <c r="A2482" s="1" t="s">
        <v>2110</v>
      </c>
      <c r="B2482" s="1" t="s">
        <v>2488</v>
      </c>
      <c r="Q2482" s="1">
        <v>668</v>
      </c>
      <c r="R2482" s="1">
        <v>607</v>
      </c>
      <c r="S2482" s="1">
        <v>692</v>
      </c>
      <c r="T2482" s="1">
        <v>646</v>
      </c>
      <c r="U2482" s="1">
        <v>729</v>
      </c>
      <c r="V2482" s="1">
        <v>708</v>
      </c>
      <c r="W2482" s="5"/>
      <c r="X2482" s="5"/>
      <c r="Y2482" s="5"/>
    </row>
    <row r="2483" spans="1:25" x14ac:dyDescent="0.2">
      <c r="A2483" s="1" t="s">
        <v>2110</v>
      </c>
      <c r="B2483" s="1" t="s">
        <v>2489</v>
      </c>
      <c r="Q2483" s="1">
        <v>65</v>
      </c>
      <c r="R2483" s="1">
        <v>26</v>
      </c>
      <c r="S2483" s="1">
        <v>36</v>
      </c>
      <c r="T2483" s="1">
        <v>28</v>
      </c>
      <c r="U2483" s="1">
        <v>46</v>
      </c>
      <c r="V2483" s="1">
        <v>44</v>
      </c>
      <c r="W2483" s="5"/>
      <c r="X2483" s="5"/>
      <c r="Y2483" s="5"/>
    </row>
    <row r="2484" spans="1:25" x14ac:dyDescent="0.2">
      <c r="A2484" s="1" t="s">
        <v>2110</v>
      </c>
      <c r="B2484" s="1" t="s">
        <v>2490</v>
      </c>
      <c r="Q2484" s="1">
        <v>79</v>
      </c>
      <c r="R2484" s="1">
        <v>72</v>
      </c>
      <c r="S2484" s="1">
        <v>58</v>
      </c>
      <c r="T2484" s="1">
        <v>51</v>
      </c>
      <c r="U2484" s="1">
        <v>83</v>
      </c>
      <c r="V2484" s="1">
        <v>96</v>
      </c>
      <c r="W2484" s="5"/>
      <c r="X2484" s="5"/>
      <c r="Y2484" s="5"/>
    </row>
    <row r="2485" spans="1:25" x14ac:dyDescent="0.2">
      <c r="A2485" s="1" t="s">
        <v>2110</v>
      </c>
      <c r="B2485" s="1" t="s">
        <v>2491</v>
      </c>
      <c r="Q2485" s="1">
        <v>80</v>
      </c>
      <c r="R2485" s="1">
        <v>74</v>
      </c>
      <c r="S2485" s="1">
        <v>103</v>
      </c>
      <c r="T2485" s="1">
        <v>56</v>
      </c>
      <c r="U2485" s="1">
        <v>85</v>
      </c>
      <c r="V2485" s="1">
        <v>93</v>
      </c>
      <c r="W2485" s="5"/>
      <c r="X2485" s="5"/>
      <c r="Y2485" s="5"/>
    </row>
    <row r="2486" spans="1:25" x14ac:dyDescent="0.2">
      <c r="A2486" s="1" t="s">
        <v>2110</v>
      </c>
      <c r="B2486" s="1" t="s">
        <v>2492</v>
      </c>
      <c r="Q2486" s="1">
        <v>241</v>
      </c>
      <c r="R2486" s="1">
        <v>191</v>
      </c>
      <c r="S2486" s="1">
        <v>186</v>
      </c>
      <c r="T2486" s="1">
        <v>202</v>
      </c>
      <c r="U2486" s="1">
        <v>198</v>
      </c>
      <c r="V2486" s="1">
        <v>161</v>
      </c>
      <c r="W2486" s="5"/>
      <c r="X2486" s="5"/>
      <c r="Y2486" s="5"/>
    </row>
    <row r="2487" spans="1:25" x14ac:dyDescent="0.2">
      <c r="A2487" s="1" t="s">
        <v>2110</v>
      </c>
      <c r="B2487" s="1" t="s">
        <v>2493</v>
      </c>
      <c r="Q2487" s="1">
        <v>171</v>
      </c>
      <c r="R2487" s="1">
        <v>144</v>
      </c>
      <c r="S2487" s="1">
        <v>161</v>
      </c>
      <c r="T2487" s="1">
        <v>174</v>
      </c>
      <c r="U2487" s="1">
        <v>156</v>
      </c>
      <c r="V2487" s="1">
        <v>195</v>
      </c>
      <c r="W2487" s="5"/>
      <c r="X2487" s="5"/>
      <c r="Y2487" s="5"/>
    </row>
    <row r="2488" spans="1:25" x14ac:dyDescent="0.2">
      <c r="A2488" s="1" t="s">
        <v>2110</v>
      </c>
      <c r="B2488" s="1" t="s">
        <v>2494</v>
      </c>
      <c r="Q2488" s="1">
        <v>102</v>
      </c>
      <c r="R2488" s="1">
        <v>79</v>
      </c>
      <c r="S2488" s="1">
        <v>112</v>
      </c>
      <c r="T2488" s="1">
        <v>118</v>
      </c>
      <c r="U2488" s="1">
        <v>110</v>
      </c>
      <c r="V2488" s="1">
        <v>92</v>
      </c>
      <c r="W2488" s="5"/>
      <c r="X2488" s="5"/>
      <c r="Y2488" s="5"/>
    </row>
    <row r="2489" spans="1:25" x14ac:dyDescent="0.2">
      <c r="A2489" s="1" t="s">
        <v>2110</v>
      </c>
      <c r="B2489" s="1" t="s">
        <v>2495</v>
      </c>
      <c r="Q2489" s="1">
        <v>25</v>
      </c>
      <c r="R2489" s="1">
        <v>45</v>
      </c>
      <c r="S2489" s="1">
        <v>56</v>
      </c>
      <c r="T2489" s="1">
        <v>35</v>
      </c>
      <c r="U2489" s="1">
        <v>60</v>
      </c>
      <c r="V2489" s="1">
        <v>61</v>
      </c>
      <c r="W2489" s="5"/>
      <c r="X2489" s="5"/>
      <c r="Y2489" s="5"/>
    </row>
    <row r="2490" spans="1:25" x14ac:dyDescent="0.2">
      <c r="A2490" s="1" t="s">
        <v>2110</v>
      </c>
      <c r="B2490" s="1" t="s">
        <v>2496</v>
      </c>
      <c r="Q2490" s="1">
        <v>23</v>
      </c>
      <c r="R2490" s="1">
        <v>16</v>
      </c>
      <c r="S2490" s="1">
        <v>30</v>
      </c>
      <c r="T2490" s="1">
        <v>29</v>
      </c>
      <c r="U2490" s="1">
        <v>55</v>
      </c>
      <c r="V2490" s="1">
        <v>41</v>
      </c>
      <c r="W2490" s="5"/>
      <c r="X2490" s="5"/>
      <c r="Y2490" s="5"/>
    </row>
    <row r="2491" spans="1:25" x14ac:dyDescent="0.2">
      <c r="A2491" s="1" t="s">
        <v>2110</v>
      </c>
      <c r="B2491" s="1" t="s">
        <v>2497</v>
      </c>
      <c r="Q2491" s="1">
        <v>10</v>
      </c>
      <c r="R2491" s="1">
        <v>7</v>
      </c>
      <c r="S2491" s="1">
        <v>19</v>
      </c>
      <c r="T2491" s="1">
        <v>5</v>
      </c>
      <c r="U2491" s="1">
        <v>24</v>
      </c>
      <c r="V2491" s="1">
        <v>4</v>
      </c>
      <c r="W2491" s="5"/>
      <c r="X2491" s="5"/>
      <c r="Y2491" s="5"/>
    </row>
    <row r="2492" spans="1:25" x14ac:dyDescent="0.2">
      <c r="A2492" s="1" t="s">
        <v>2110</v>
      </c>
      <c r="B2492" s="1" t="s">
        <v>2498</v>
      </c>
      <c r="Q2492" s="1">
        <v>2</v>
      </c>
      <c r="R2492" s="1">
        <v>5</v>
      </c>
      <c r="S2492" s="1">
        <v>3</v>
      </c>
      <c r="T2492" s="1">
        <v>4</v>
      </c>
      <c r="U2492" s="1">
        <v>4</v>
      </c>
      <c r="V2492" s="1">
        <v>9</v>
      </c>
      <c r="W2492" s="5"/>
      <c r="X2492" s="5"/>
      <c r="Y2492" s="5"/>
    </row>
    <row r="2493" spans="1:25" x14ac:dyDescent="0.2">
      <c r="A2493" s="1" t="s">
        <v>2110</v>
      </c>
      <c r="B2493" s="1" t="s">
        <v>2499</v>
      </c>
      <c r="W2493" s="13"/>
      <c r="X2493" s="5"/>
      <c r="Y2493" s="5"/>
    </row>
    <row r="2494" spans="1:25" x14ac:dyDescent="0.2">
      <c r="A2494" s="1" t="s">
        <v>2110</v>
      </c>
      <c r="B2494" s="1" t="s">
        <v>2500</v>
      </c>
      <c r="W2494" s="13"/>
      <c r="X2494" s="5"/>
      <c r="Y2494" s="5"/>
    </row>
    <row r="2495" spans="1:25" x14ac:dyDescent="0.2">
      <c r="A2495" s="1" t="s">
        <v>2110</v>
      </c>
      <c r="B2495" s="1" t="s">
        <v>2501</v>
      </c>
      <c r="G2495" s="1">
        <v>9056</v>
      </c>
      <c r="H2495" s="1">
        <v>8818</v>
      </c>
      <c r="I2495" s="1">
        <v>7712</v>
      </c>
      <c r="J2495" s="1">
        <v>7500</v>
      </c>
      <c r="K2495" s="1">
        <v>8225</v>
      </c>
      <c r="L2495" s="1">
        <v>9431</v>
      </c>
      <c r="M2495" s="1">
        <v>10541</v>
      </c>
      <c r="N2495" s="1">
        <v>12154</v>
      </c>
      <c r="O2495" s="1">
        <v>13407</v>
      </c>
      <c r="P2495" s="1">
        <v>13647</v>
      </c>
      <c r="Q2495" s="1">
        <v>13854</v>
      </c>
      <c r="R2495" s="1">
        <v>13999</v>
      </c>
      <c r="S2495" s="1">
        <v>13338</v>
      </c>
      <c r="T2495" s="1">
        <v>14224</v>
      </c>
      <c r="W2495" s="13"/>
      <c r="X2495" s="5"/>
      <c r="Y2495" s="5"/>
    </row>
    <row r="2496" spans="1:25" x14ac:dyDescent="0.2">
      <c r="A2496" s="1" t="s">
        <v>2110</v>
      </c>
      <c r="B2496" s="1" t="s">
        <v>2502</v>
      </c>
      <c r="C2496" s="1">
        <v>7575</v>
      </c>
      <c r="D2496" s="1">
        <v>7649</v>
      </c>
      <c r="E2496" s="1">
        <v>8113</v>
      </c>
      <c r="F2496" s="1">
        <v>8407</v>
      </c>
      <c r="G2496" s="1">
        <v>8890</v>
      </c>
      <c r="H2496" s="1">
        <v>9053</v>
      </c>
      <c r="I2496" s="1">
        <v>9037</v>
      </c>
      <c r="J2496" s="1">
        <v>9211</v>
      </c>
      <c r="K2496" s="1">
        <v>9682</v>
      </c>
      <c r="L2496" s="1">
        <v>10700</v>
      </c>
      <c r="M2496" s="1">
        <v>12110</v>
      </c>
      <c r="N2496" s="1">
        <v>13716</v>
      </c>
      <c r="O2496" s="1">
        <v>15600</v>
      </c>
      <c r="P2496" s="1">
        <v>17102</v>
      </c>
      <c r="Q2496" s="1">
        <v>18263</v>
      </c>
      <c r="R2496" s="1">
        <v>19003</v>
      </c>
      <c r="S2496" s="1">
        <f>S2498+S2500</f>
        <v>19114</v>
      </c>
      <c r="T2496" s="1">
        <v>19557</v>
      </c>
      <c r="W2496" s="13"/>
      <c r="X2496" s="5"/>
      <c r="Y2496" s="5"/>
    </row>
    <row r="2497" spans="1:25" x14ac:dyDescent="0.2">
      <c r="A2497" s="1" t="s">
        <v>2110</v>
      </c>
      <c r="B2497" s="1" t="s">
        <v>2503</v>
      </c>
      <c r="J2497" s="1">
        <f>SUM(J2498:J2503)</f>
        <v>12716</v>
      </c>
      <c r="K2497" s="1">
        <f t="shared" ref="K2497:V2497" si="322">SUM(K2498:K2503)</f>
        <v>13127</v>
      </c>
      <c r="L2497" s="1">
        <f t="shared" si="322"/>
        <v>15070</v>
      </c>
      <c r="M2497" s="1">
        <f t="shared" si="322"/>
        <v>18943</v>
      </c>
      <c r="N2497" s="1">
        <f t="shared" si="322"/>
        <v>23207</v>
      </c>
      <c r="O2497" s="1">
        <f t="shared" si="322"/>
        <v>27656</v>
      </c>
      <c r="P2497" s="1">
        <f t="shared" si="322"/>
        <v>31223</v>
      </c>
      <c r="Q2497" s="1">
        <f t="shared" si="322"/>
        <v>33082</v>
      </c>
      <c r="R2497" s="1">
        <f t="shared" si="322"/>
        <v>34861</v>
      </c>
      <c r="S2497" s="1">
        <f t="shared" si="322"/>
        <v>35921</v>
      </c>
      <c r="T2497" s="1">
        <f t="shared" si="322"/>
        <v>35921</v>
      </c>
      <c r="U2497" s="1">
        <f t="shared" si="322"/>
        <v>0</v>
      </c>
      <c r="V2497" s="1">
        <f t="shared" si="322"/>
        <v>0</v>
      </c>
      <c r="W2497" s="5"/>
      <c r="X2497" s="5"/>
      <c r="Y2497" s="5"/>
    </row>
    <row r="2498" spans="1:25" x14ac:dyDescent="0.2">
      <c r="A2498" s="1" t="s">
        <v>2110</v>
      </c>
      <c r="B2498" s="1" t="s">
        <v>2504</v>
      </c>
      <c r="J2498" s="1">
        <v>7367</v>
      </c>
      <c r="K2498" s="1">
        <v>7718</v>
      </c>
      <c r="L2498" s="1">
        <v>8287</v>
      </c>
      <c r="M2498" s="1">
        <v>9470</v>
      </c>
      <c r="N2498" s="1">
        <v>10793</v>
      </c>
      <c r="O2498" s="1">
        <v>12366</v>
      </c>
      <c r="P2498" s="1">
        <v>13956</v>
      </c>
      <c r="Q2498" s="1">
        <v>15299</v>
      </c>
      <c r="R2498" s="1">
        <v>16162</v>
      </c>
      <c r="S2498" s="1">
        <v>16571</v>
      </c>
      <c r="T2498" s="1">
        <v>16571</v>
      </c>
      <c r="W2498" s="5"/>
      <c r="X2498" s="5"/>
      <c r="Y2498" s="5"/>
    </row>
    <row r="2499" spans="1:25" x14ac:dyDescent="0.2">
      <c r="A2499" s="1" t="s">
        <v>2110</v>
      </c>
      <c r="B2499" s="1" t="s">
        <v>2505</v>
      </c>
      <c r="J2499" s="1">
        <v>2935</v>
      </c>
      <c r="K2499" s="1">
        <v>2991</v>
      </c>
      <c r="L2499" s="1">
        <v>3948</v>
      </c>
      <c r="M2499" s="1">
        <v>6407</v>
      </c>
      <c r="N2499" s="1">
        <v>8970</v>
      </c>
      <c r="O2499" s="1">
        <v>11424</v>
      </c>
      <c r="P2499" s="1">
        <v>13395</v>
      </c>
      <c r="Q2499" s="1">
        <v>13940</v>
      </c>
      <c r="R2499" s="1">
        <v>14859</v>
      </c>
      <c r="S2499" s="1">
        <v>15747</v>
      </c>
      <c r="T2499" s="1">
        <v>15747</v>
      </c>
      <c r="W2499" s="5"/>
      <c r="X2499" s="5"/>
      <c r="Y2499" s="5"/>
    </row>
    <row r="2500" spans="1:25" x14ac:dyDescent="0.2">
      <c r="A2500" s="1" t="s">
        <v>2110</v>
      </c>
      <c r="B2500" s="1" t="s">
        <v>2506</v>
      </c>
      <c r="J2500" s="1">
        <v>1844</v>
      </c>
      <c r="K2500" s="1">
        <v>1964</v>
      </c>
      <c r="L2500" s="1">
        <v>2413</v>
      </c>
      <c r="M2500" s="1">
        <v>2635</v>
      </c>
      <c r="N2500" s="1">
        <v>2918</v>
      </c>
      <c r="O2500" s="1">
        <v>3228</v>
      </c>
      <c r="P2500" s="1">
        <v>3144</v>
      </c>
      <c r="Q2500" s="1">
        <v>2964</v>
      </c>
      <c r="R2500" s="1">
        <v>2841</v>
      </c>
      <c r="S2500" s="1">
        <v>2543</v>
      </c>
      <c r="T2500" s="1">
        <v>2543</v>
      </c>
      <c r="W2500" s="5"/>
      <c r="X2500" s="5"/>
      <c r="Y2500" s="5"/>
    </row>
    <row r="2501" spans="1:25" x14ac:dyDescent="0.2">
      <c r="A2501" s="1" t="s">
        <v>2110</v>
      </c>
      <c r="B2501" s="1" t="s">
        <v>2507</v>
      </c>
      <c r="J2501" s="1">
        <v>435</v>
      </c>
      <c r="K2501" s="1">
        <v>325</v>
      </c>
      <c r="L2501" s="1">
        <v>271</v>
      </c>
      <c r="M2501" s="1">
        <v>269</v>
      </c>
      <c r="N2501" s="1">
        <v>336</v>
      </c>
      <c r="O2501" s="1">
        <v>419</v>
      </c>
      <c r="P2501" s="1">
        <v>454</v>
      </c>
      <c r="Q2501" s="1">
        <v>576</v>
      </c>
      <c r="R2501" s="1">
        <v>687</v>
      </c>
      <c r="S2501" s="1">
        <v>770</v>
      </c>
      <c r="T2501" s="1">
        <v>770</v>
      </c>
      <c r="W2501" s="5"/>
      <c r="X2501" s="5"/>
      <c r="Y2501" s="5"/>
    </row>
    <row r="2502" spans="1:25" x14ac:dyDescent="0.2">
      <c r="A2502" s="1" t="s">
        <v>2110</v>
      </c>
      <c r="B2502" s="1" t="s">
        <v>2508</v>
      </c>
      <c r="J2502" s="1">
        <v>126</v>
      </c>
      <c r="K2502" s="1">
        <v>121</v>
      </c>
      <c r="L2502" s="1">
        <v>144</v>
      </c>
      <c r="M2502" s="1">
        <v>157</v>
      </c>
      <c r="N2502" s="1">
        <v>185</v>
      </c>
      <c r="O2502" s="1">
        <v>213</v>
      </c>
      <c r="P2502" s="1">
        <v>271</v>
      </c>
      <c r="Q2502" s="1">
        <v>303</v>
      </c>
      <c r="R2502" s="1">
        <v>312</v>
      </c>
      <c r="S2502" s="1">
        <v>290</v>
      </c>
      <c r="T2502" s="1">
        <v>290</v>
      </c>
      <c r="W2502" s="5"/>
      <c r="X2502" s="5"/>
      <c r="Y2502" s="5"/>
    </row>
    <row r="2503" spans="1:25" x14ac:dyDescent="0.2">
      <c r="A2503" s="1" t="s">
        <v>2110</v>
      </c>
      <c r="B2503" s="1" t="s">
        <v>2509</v>
      </c>
      <c r="J2503" s="1">
        <v>9</v>
      </c>
      <c r="K2503" s="1">
        <v>8</v>
      </c>
      <c r="L2503" s="1">
        <v>7</v>
      </c>
      <c r="M2503" s="1">
        <v>5</v>
      </c>
      <c r="N2503" s="1">
        <v>5</v>
      </c>
      <c r="O2503" s="1">
        <v>6</v>
      </c>
      <c r="P2503" s="1">
        <v>3</v>
      </c>
      <c r="Q2503" s="1">
        <v>0</v>
      </c>
      <c r="R2503" s="1">
        <v>0</v>
      </c>
      <c r="S2503" s="1">
        <v>0</v>
      </c>
      <c r="W2503" s="5"/>
      <c r="X2503" s="5"/>
      <c r="Y2503" s="5"/>
    </row>
    <row r="2504" spans="1:25" x14ac:dyDescent="0.2">
      <c r="A2504" s="1" t="s">
        <v>2510</v>
      </c>
      <c r="B2504" s="1" t="s">
        <v>2511</v>
      </c>
      <c r="O2504" s="1" t="s">
        <v>1078</v>
      </c>
      <c r="P2504" s="1" t="s">
        <v>1078</v>
      </c>
      <c r="Q2504" s="1" t="s">
        <v>1078</v>
      </c>
      <c r="R2504" s="1" t="s">
        <v>1078</v>
      </c>
      <c r="S2504" s="1" t="s">
        <v>1078</v>
      </c>
      <c r="T2504" s="1">
        <v>46.3</v>
      </c>
      <c r="U2504" s="1">
        <v>43.2</v>
      </c>
      <c r="V2504" s="1">
        <v>32.299999999999997</v>
      </c>
      <c r="W2504" s="7"/>
    </row>
    <row r="2505" spans="1:25" x14ac:dyDescent="0.2">
      <c r="A2505" s="1" t="s">
        <v>2510</v>
      </c>
      <c r="B2505" s="1" t="s">
        <v>2512</v>
      </c>
      <c r="O2505" s="1" t="s">
        <v>1078</v>
      </c>
      <c r="P2505" s="1" t="s">
        <v>1078</v>
      </c>
      <c r="Q2505" s="1" t="s">
        <v>1078</v>
      </c>
      <c r="R2505" s="1" t="s">
        <v>1078</v>
      </c>
      <c r="S2505" s="1" t="s">
        <v>1078</v>
      </c>
      <c r="T2505" s="1">
        <v>50.1</v>
      </c>
      <c r="U2505" s="1">
        <v>54.2</v>
      </c>
      <c r="V2505" s="1">
        <v>43.2</v>
      </c>
      <c r="W2505" s="7"/>
    </row>
    <row r="2506" spans="1:25" x14ac:dyDescent="0.2">
      <c r="A2506" s="1" t="s">
        <v>2510</v>
      </c>
      <c r="B2506" s="1" t="s">
        <v>2513</v>
      </c>
      <c r="O2506" s="1" t="s">
        <v>1078</v>
      </c>
      <c r="P2506" s="1" t="s">
        <v>1078</v>
      </c>
      <c r="Q2506" s="1" t="s">
        <v>1078</v>
      </c>
      <c r="R2506" s="1" t="s">
        <v>1078</v>
      </c>
      <c r="S2506" s="1" t="s">
        <v>1078</v>
      </c>
      <c r="T2506" s="1">
        <v>28.1</v>
      </c>
      <c r="U2506" s="1">
        <v>25.1</v>
      </c>
      <c r="W2506" s="7"/>
    </row>
    <row r="2507" spans="1:25" x14ac:dyDescent="0.2">
      <c r="A2507" s="1" t="s">
        <v>2510</v>
      </c>
      <c r="B2507" s="1" t="s">
        <v>2514</v>
      </c>
      <c r="O2507" s="1" t="s">
        <v>1078</v>
      </c>
      <c r="P2507" s="1" t="s">
        <v>1078</v>
      </c>
      <c r="Q2507" s="1" t="s">
        <v>1078</v>
      </c>
      <c r="R2507" s="1" t="s">
        <v>1078</v>
      </c>
      <c r="S2507" s="1" t="s">
        <v>1078</v>
      </c>
      <c r="T2507" s="1">
        <v>11.1</v>
      </c>
      <c r="U2507" s="1">
        <v>9.3000000000000007</v>
      </c>
      <c r="W2507" s="7"/>
    </row>
    <row r="2508" spans="1:25" x14ac:dyDescent="0.2">
      <c r="A2508" s="1" t="s">
        <v>2510</v>
      </c>
      <c r="B2508" s="1" t="s">
        <v>2515</v>
      </c>
      <c r="O2508" s="1" t="s">
        <v>1078</v>
      </c>
      <c r="P2508" s="1" t="s">
        <v>1078</v>
      </c>
      <c r="Q2508" s="1" t="s">
        <v>1078</v>
      </c>
      <c r="R2508" s="1" t="s">
        <v>1078</v>
      </c>
      <c r="S2508" s="1" t="s">
        <v>1078</v>
      </c>
      <c r="T2508" s="1">
        <v>47</v>
      </c>
      <c r="W2508" s="7"/>
    </row>
    <row r="2509" spans="1:25" x14ac:dyDescent="0.2">
      <c r="A2509" s="1" t="s">
        <v>2510</v>
      </c>
      <c r="B2509" s="1" t="s">
        <v>2516</v>
      </c>
      <c r="O2509" s="1" t="s">
        <v>1078</v>
      </c>
      <c r="P2509" s="1" t="s">
        <v>1078</v>
      </c>
      <c r="Q2509" s="1" t="s">
        <v>1078</v>
      </c>
      <c r="R2509" s="1" t="s">
        <v>1078</v>
      </c>
      <c r="S2509" s="1" t="s">
        <v>1078</v>
      </c>
      <c r="T2509" s="1">
        <v>20.2</v>
      </c>
      <c r="U2509" s="1">
        <v>20.2</v>
      </c>
      <c r="W2509" s="7"/>
    </row>
    <row r="2510" spans="1:25" x14ac:dyDescent="0.2">
      <c r="A2510" s="1" t="s">
        <v>2510</v>
      </c>
      <c r="B2510" s="1" t="s">
        <v>2517</v>
      </c>
      <c r="O2510" s="1" t="s">
        <v>1078</v>
      </c>
      <c r="P2510" s="1" t="s">
        <v>1078</v>
      </c>
      <c r="Q2510" s="1" t="s">
        <v>1078</v>
      </c>
      <c r="R2510" s="1" t="s">
        <v>1078</v>
      </c>
      <c r="S2510" s="1" t="s">
        <v>1078</v>
      </c>
      <c r="T2510" s="1">
        <v>98</v>
      </c>
      <c r="U2510" s="1">
        <v>96</v>
      </c>
      <c r="W2510" s="7"/>
    </row>
    <row r="2511" spans="1:25" x14ac:dyDescent="0.2">
      <c r="A2511" s="1" t="s">
        <v>2510</v>
      </c>
      <c r="B2511" s="1" t="s">
        <v>2518</v>
      </c>
      <c r="O2511" s="1" t="s">
        <v>1078</v>
      </c>
      <c r="P2511" s="1" t="s">
        <v>1078</v>
      </c>
      <c r="Q2511" s="1" t="s">
        <v>1078</v>
      </c>
      <c r="R2511" s="1" t="s">
        <v>1078</v>
      </c>
      <c r="S2511" s="1" t="s">
        <v>1078</v>
      </c>
      <c r="T2511" s="1">
        <v>43</v>
      </c>
      <c r="U2511" s="1">
        <v>41.1</v>
      </c>
      <c r="W2511" s="7"/>
    </row>
    <row r="2512" spans="1:25" x14ac:dyDescent="0.2">
      <c r="A2512" s="1" t="s">
        <v>2510</v>
      </c>
      <c r="B2512" s="1" t="s">
        <v>2519</v>
      </c>
      <c r="O2512" s="1" t="s">
        <v>1078</v>
      </c>
      <c r="P2512" s="1" t="s">
        <v>1078</v>
      </c>
      <c r="Q2512" s="1" t="s">
        <v>1078</v>
      </c>
      <c r="R2512" s="1" t="s">
        <v>1078</v>
      </c>
      <c r="S2512" s="1" t="s">
        <v>1078</v>
      </c>
      <c r="T2512" s="1">
        <v>44.2</v>
      </c>
      <c r="U2512" s="1">
        <v>113.1</v>
      </c>
      <c r="W2512" s="7"/>
    </row>
    <row r="2513" spans="1:23" x14ac:dyDescent="0.2">
      <c r="A2513" s="1" t="s">
        <v>2510</v>
      </c>
      <c r="B2513" s="1" t="s">
        <v>2520</v>
      </c>
      <c r="O2513" s="1" t="s">
        <v>1078</v>
      </c>
      <c r="P2513" s="1" t="s">
        <v>1078</v>
      </c>
      <c r="Q2513" s="1" t="s">
        <v>1078</v>
      </c>
      <c r="R2513" s="1" t="s">
        <v>1078</v>
      </c>
      <c r="S2513" s="1" t="s">
        <v>1078</v>
      </c>
      <c r="T2513" s="1">
        <v>8</v>
      </c>
      <c r="U2513" s="1">
        <v>6.2</v>
      </c>
      <c r="W2513" s="7"/>
    </row>
    <row r="2514" spans="1:23" x14ac:dyDescent="0.2">
      <c r="A2514" s="1" t="s">
        <v>2510</v>
      </c>
      <c r="B2514" s="1" t="s">
        <v>2521</v>
      </c>
      <c r="O2514" s="1" t="s">
        <v>1078</v>
      </c>
      <c r="P2514" s="1" t="s">
        <v>1078</v>
      </c>
      <c r="Q2514" s="1" t="s">
        <v>1078</v>
      </c>
      <c r="R2514" s="1" t="s">
        <v>1078</v>
      </c>
      <c r="S2514" s="1" t="s">
        <v>1078</v>
      </c>
      <c r="T2514" s="1">
        <v>8.1</v>
      </c>
      <c r="U2514" s="1">
        <v>6</v>
      </c>
      <c r="W2514" s="7"/>
    </row>
    <row r="2515" spans="1:23" x14ac:dyDescent="0.2">
      <c r="A2515" s="1" t="s">
        <v>2510</v>
      </c>
      <c r="B2515" s="1" t="s">
        <v>2522</v>
      </c>
      <c r="O2515" s="1" t="s">
        <v>1078</v>
      </c>
      <c r="P2515" s="1" t="s">
        <v>1078</v>
      </c>
      <c r="Q2515" s="1" t="s">
        <v>1078</v>
      </c>
      <c r="R2515" s="1" t="s">
        <v>1078</v>
      </c>
      <c r="S2515" s="1" t="s">
        <v>1078</v>
      </c>
      <c r="T2515" s="1">
        <v>51.3</v>
      </c>
      <c r="U2515" s="1">
        <v>58</v>
      </c>
      <c r="W2515" s="7"/>
    </row>
    <row r="2516" spans="1:23" x14ac:dyDescent="0.2">
      <c r="A2516" s="1" t="s">
        <v>2510</v>
      </c>
      <c r="B2516" s="1" t="s">
        <v>2523</v>
      </c>
      <c r="O2516" s="1" t="s">
        <v>1078</v>
      </c>
      <c r="P2516" s="1" t="s">
        <v>1078</v>
      </c>
      <c r="Q2516" s="1" t="s">
        <v>1078</v>
      </c>
      <c r="R2516" s="1" t="s">
        <v>1078</v>
      </c>
      <c r="S2516" s="1" t="s">
        <v>1078</v>
      </c>
      <c r="T2516" s="1">
        <v>65.2</v>
      </c>
      <c r="U2516" s="1">
        <v>64.2</v>
      </c>
      <c r="W2516" s="7"/>
    </row>
    <row r="2517" spans="1:23" x14ac:dyDescent="0.2">
      <c r="A2517" s="1" t="s">
        <v>2510</v>
      </c>
      <c r="B2517" s="1" t="s">
        <v>2524</v>
      </c>
      <c r="O2517" s="1" t="s">
        <v>1078</v>
      </c>
      <c r="P2517" s="1" t="s">
        <v>1078</v>
      </c>
      <c r="Q2517" s="1" t="s">
        <v>1078</v>
      </c>
      <c r="R2517" s="1" t="s">
        <v>1078</v>
      </c>
      <c r="S2517" s="1" t="s">
        <v>1078</v>
      </c>
      <c r="T2517" s="1">
        <v>21.2</v>
      </c>
      <c r="U2517" s="1">
        <v>11</v>
      </c>
      <c r="W2517" s="7"/>
    </row>
    <row r="2518" spans="1:23" x14ac:dyDescent="0.2">
      <c r="A2518" s="1" t="s">
        <v>2510</v>
      </c>
      <c r="B2518" s="1" t="s">
        <v>2525</v>
      </c>
      <c r="O2518" s="1" t="s">
        <v>1078</v>
      </c>
      <c r="P2518" s="1" t="s">
        <v>1078</v>
      </c>
      <c r="Q2518" s="1" t="s">
        <v>1078</v>
      </c>
      <c r="R2518" s="1" t="s">
        <v>1078</v>
      </c>
      <c r="S2518" s="1" t="s">
        <v>1078</v>
      </c>
      <c r="T2518" s="1">
        <v>91</v>
      </c>
      <c r="U2518" s="1">
        <v>93.2</v>
      </c>
      <c r="V2518" s="1">
        <v>5.3</v>
      </c>
      <c r="W2518" s="7"/>
    </row>
    <row r="2519" spans="1:23" x14ac:dyDescent="0.2">
      <c r="A2519" s="1" t="s">
        <v>2510</v>
      </c>
      <c r="B2519" s="1" t="s">
        <v>2526</v>
      </c>
      <c r="O2519" s="1" t="s">
        <v>1078</v>
      </c>
      <c r="P2519" s="1" t="s">
        <v>1078</v>
      </c>
      <c r="Q2519" s="1" t="s">
        <v>1078</v>
      </c>
      <c r="R2519" s="1" t="s">
        <v>1078</v>
      </c>
      <c r="S2519" s="1" t="s">
        <v>1078</v>
      </c>
      <c r="T2519" s="1">
        <v>25.3</v>
      </c>
      <c r="U2519" s="1">
        <v>15.3</v>
      </c>
      <c r="W2519" s="7"/>
    </row>
    <row r="2520" spans="1:23" x14ac:dyDescent="0.2">
      <c r="A2520" s="1" t="s">
        <v>2510</v>
      </c>
      <c r="B2520" s="1" t="s">
        <v>2527</v>
      </c>
      <c r="O2520" s="1" t="s">
        <v>1078</v>
      </c>
      <c r="P2520" s="1" t="s">
        <v>1078</v>
      </c>
      <c r="Q2520" s="1" t="s">
        <v>1078</v>
      </c>
      <c r="R2520" s="1" t="s">
        <v>1078</v>
      </c>
      <c r="S2520" s="1" t="s">
        <v>1078</v>
      </c>
      <c r="T2520" s="1">
        <v>44.1</v>
      </c>
      <c r="U2520" s="1">
        <v>16.3</v>
      </c>
      <c r="W2520" s="7"/>
    </row>
    <row r="2521" spans="1:23" x14ac:dyDescent="0.2">
      <c r="A2521" s="1" t="s">
        <v>2510</v>
      </c>
      <c r="B2521" s="1" t="s">
        <v>2528</v>
      </c>
      <c r="O2521" s="1" t="s">
        <v>1078</v>
      </c>
      <c r="P2521" s="1" t="s">
        <v>1078</v>
      </c>
      <c r="Q2521" s="1" t="s">
        <v>1078</v>
      </c>
      <c r="R2521" s="1" t="s">
        <v>1078</v>
      </c>
      <c r="S2521" s="1" t="s">
        <v>1078</v>
      </c>
      <c r="T2521" s="1">
        <v>8.3000000000000007</v>
      </c>
      <c r="U2521" s="1">
        <v>18</v>
      </c>
      <c r="V2521" s="1">
        <v>13.3</v>
      </c>
      <c r="W2521" s="7"/>
    </row>
    <row r="2522" spans="1:23" x14ac:dyDescent="0.2">
      <c r="A2522" s="1" t="s">
        <v>2510</v>
      </c>
      <c r="B2522" s="1" t="s">
        <v>2529</v>
      </c>
      <c r="O2522" s="1" t="s">
        <v>1078</v>
      </c>
      <c r="P2522" s="1" t="s">
        <v>1078</v>
      </c>
      <c r="Q2522" s="1" t="s">
        <v>1078</v>
      </c>
      <c r="R2522" s="1" t="s">
        <v>1078</v>
      </c>
      <c r="S2522" s="1" t="s">
        <v>1078</v>
      </c>
      <c r="T2522" s="1">
        <v>4.0999999999999996</v>
      </c>
      <c r="U2522" s="1">
        <v>3.2</v>
      </c>
      <c r="W2522" s="7"/>
    </row>
    <row r="2523" spans="1:23" x14ac:dyDescent="0.2">
      <c r="A2523" s="1" t="s">
        <v>2510</v>
      </c>
      <c r="B2523" s="1" t="s">
        <v>2530</v>
      </c>
      <c r="O2523" s="1" t="s">
        <v>1078</v>
      </c>
      <c r="P2523" s="1" t="s">
        <v>1078</v>
      </c>
      <c r="Q2523" s="1" t="s">
        <v>1078</v>
      </c>
      <c r="R2523" s="1" t="s">
        <v>1078</v>
      </c>
      <c r="S2523" s="1" t="s">
        <v>1078</v>
      </c>
      <c r="T2523" s="1">
        <v>126</v>
      </c>
      <c r="U2523" s="1">
        <v>130.1</v>
      </c>
      <c r="W2523" s="7"/>
    </row>
    <row r="2524" spans="1:23" x14ac:dyDescent="0.2">
      <c r="A2524" s="1" t="s">
        <v>2510</v>
      </c>
      <c r="B2524" s="1" t="s">
        <v>2531</v>
      </c>
      <c r="O2524" s="1" t="s">
        <v>1078</v>
      </c>
      <c r="P2524" s="1" t="s">
        <v>1078</v>
      </c>
      <c r="Q2524" s="1" t="s">
        <v>1078</v>
      </c>
      <c r="R2524" s="1" t="s">
        <v>1078</v>
      </c>
      <c r="S2524" s="1" t="s">
        <v>1078</v>
      </c>
      <c r="T2524" s="1">
        <v>33</v>
      </c>
      <c r="U2524" s="1">
        <v>35</v>
      </c>
      <c r="V2524" s="1">
        <v>11.2</v>
      </c>
      <c r="W2524" s="7"/>
    </row>
    <row r="2525" spans="1:23" x14ac:dyDescent="0.2">
      <c r="A2525" s="1" t="s">
        <v>2510</v>
      </c>
      <c r="B2525" s="1" t="s">
        <v>2532</v>
      </c>
      <c r="O2525" s="1" t="s">
        <v>1078</v>
      </c>
      <c r="P2525" s="1" t="s">
        <v>1078</v>
      </c>
      <c r="Q2525" s="1" t="s">
        <v>1078</v>
      </c>
      <c r="R2525" s="1" t="s">
        <v>1078</v>
      </c>
      <c r="S2525" s="1" t="s">
        <v>1078</v>
      </c>
      <c r="T2525" s="1">
        <v>99.1</v>
      </c>
      <c r="U2525" s="1">
        <v>34</v>
      </c>
      <c r="W2525" s="7"/>
    </row>
    <row r="2526" spans="1:23" x14ac:dyDescent="0.2">
      <c r="A2526" s="1" t="s">
        <v>2510</v>
      </c>
      <c r="B2526" s="1" t="s">
        <v>2533</v>
      </c>
      <c r="O2526" s="1" t="s">
        <v>1078</v>
      </c>
      <c r="P2526" s="1" t="s">
        <v>1078</v>
      </c>
      <c r="Q2526" s="1" t="s">
        <v>1078</v>
      </c>
      <c r="R2526" s="1" t="s">
        <v>1078</v>
      </c>
      <c r="S2526" s="1" t="s">
        <v>1078</v>
      </c>
      <c r="T2526" s="1">
        <v>11</v>
      </c>
      <c r="U2526" s="1">
        <v>7.3</v>
      </c>
      <c r="W2526" s="7"/>
    </row>
    <row r="2527" spans="1:23" x14ac:dyDescent="0.2">
      <c r="A2527" s="1" t="s">
        <v>2510</v>
      </c>
      <c r="B2527" s="1" t="s">
        <v>2534</v>
      </c>
      <c r="O2527" s="1" t="s">
        <v>1078</v>
      </c>
      <c r="P2527" s="1" t="s">
        <v>1078</v>
      </c>
      <c r="Q2527" s="1" t="s">
        <v>1078</v>
      </c>
      <c r="R2527" s="1" t="s">
        <v>1078</v>
      </c>
      <c r="S2527" s="1" t="s">
        <v>1078</v>
      </c>
      <c r="T2527" s="1">
        <v>50.1</v>
      </c>
      <c r="U2527" s="1">
        <v>54.2</v>
      </c>
      <c r="V2527" s="1">
        <v>3.2</v>
      </c>
      <c r="W2527" s="7"/>
    </row>
    <row r="2528" spans="1:23" x14ac:dyDescent="0.2">
      <c r="A2528" s="1" t="s">
        <v>2510</v>
      </c>
      <c r="B2528" s="1" t="s">
        <v>2535</v>
      </c>
      <c r="O2528" s="1" t="s">
        <v>1078</v>
      </c>
      <c r="P2528" s="1" t="s">
        <v>1078</v>
      </c>
      <c r="Q2528" s="1" t="s">
        <v>1078</v>
      </c>
      <c r="R2528" s="1" t="s">
        <v>1078</v>
      </c>
      <c r="S2528" s="1" t="s">
        <v>1078</v>
      </c>
      <c r="T2528" s="1">
        <v>68</v>
      </c>
      <c r="U2528" s="1">
        <v>25.3</v>
      </c>
      <c r="W2528" s="7"/>
    </row>
    <row r="2529" spans="1:23" x14ac:dyDescent="0.2">
      <c r="A2529" s="1" t="s">
        <v>2510</v>
      </c>
      <c r="B2529" s="1" t="s">
        <v>2536</v>
      </c>
      <c r="O2529" s="1" t="s">
        <v>1078</v>
      </c>
      <c r="P2529" s="1" t="s">
        <v>1078</v>
      </c>
      <c r="Q2529" s="1" t="s">
        <v>1078</v>
      </c>
      <c r="R2529" s="1" t="s">
        <v>1078</v>
      </c>
      <c r="S2529" s="1" t="s">
        <v>1078</v>
      </c>
      <c r="T2529" s="1">
        <v>72.099999999999994</v>
      </c>
      <c r="U2529" s="1">
        <v>64.099999999999994</v>
      </c>
      <c r="W2529" s="7"/>
    </row>
    <row r="2530" spans="1:23" x14ac:dyDescent="0.2">
      <c r="A2530" s="1" t="s">
        <v>2510</v>
      </c>
      <c r="B2530" s="1" t="s">
        <v>2537</v>
      </c>
      <c r="O2530" s="1" t="s">
        <v>1078</v>
      </c>
      <c r="P2530" s="1" t="s">
        <v>1078</v>
      </c>
      <c r="Q2530" s="1" t="s">
        <v>1078</v>
      </c>
      <c r="R2530" s="1" t="s">
        <v>1078</v>
      </c>
      <c r="S2530" s="1" t="s">
        <v>1078</v>
      </c>
      <c r="T2530" s="1">
        <v>44.2</v>
      </c>
      <c r="U2530" s="1">
        <v>48.2</v>
      </c>
      <c r="W2530" s="7"/>
    </row>
    <row r="2531" spans="1:23" x14ac:dyDescent="0.2">
      <c r="A2531" s="1" t="s">
        <v>2510</v>
      </c>
      <c r="B2531" s="1" t="s">
        <v>2538</v>
      </c>
      <c r="O2531" s="1" t="s">
        <v>1078</v>
      </c>
      <c r="P2531" s="1" t="s">
        <v>1078</v>
      </c>
      <c r="Q2531" s="1" t="s">
        <v>1078</v>
      </c>
      <c r="R2531" s="1" t="s">
        <v>1078</v>
      </c>
      <c r="S2531" s="1" t="s">
        <v>1078</v>
      </c>
      <c r="T2531" s="1">
        <v>12</v>
      </c>
      <c r="U2531" s="1">
        <v>9</v>
      </c>
      <c r="W2531" s="7"/>
    </row>
    <row r="2532" spans="1:23" x14ac:dyDescent="0.2">
      <c r="A2532" s="1" t="s">
        <v>2510</v>
      </c>
      <c r="B2532" s="1" t="s">
        <v>2539</v>
      </c>
      <c r="O2532" s="1" t="s">
        <v>1078</v>
      </c>
      <c r="P2532" s="1" t="s">
        <v>1078</v>
      </c>
      <c r="Q2532" s="1" t="s">
        <v>1078</v>
      </c>
      <c r="R2532" s="1" t="s">
        <v>1078</v>
      </c>
      <c r="S2532" s="1" t="s">
        <v>1078</v>
      </c>
      <c r="T2532" s="1">
        <v>137.19999999999999</v>
      </c>
      <c r="U2532" s="1">
        <v>78.3</v>
      </c>
      <c r="W2532" s="7"/>
    </row>
    <row r="2533" spans="1:23" x14ac:dyDescent="0.2">
      <c r="A2533" s="1" t="s">
        <v>2510</v>
      </c>
      <c r="B2533" s="1" t="s">
        <v>2540</v>
      </c>
      <c r="O2533" s="1" t="s">
        <v>1078</v>
      </c>
      <c r="P2533" s="1" t="s">
        <v>1078</v>
      </c>
      <c r="Q2533" s="1" t="s">
        <v>1078</v>
      </c>
      <c r="R2533" s="1" t="s">
        <v>1078</v>
      </c>
      <c r="S2533" s="1" t="s">
        <v>1078</v>
      </c>
      <c r="U2533" s="1">
        <v>9</v>
      </c>
      <c r="V2533" s="1">
        <v>14</v>
      </c>
      <c r="W2533" s="7"/>
    </row>
    <row r="2534" spans="1:23" x14ac:dyDescent="0.2">
      <c r="A2534" s="1" t="s">
        <v>2510</v>
      </c>
      <c r="B2534" s="1" t="s">
        <v>2541</v>
      </c>
      <c r="O2534" s="1" t="s">
        <v>1078</v>
      </c>
      <c r="P2534" s="1" t="s">
        <v>1078</v>
      </c>
      <c r="Q2534" s="1" t="s">
        <v>1078</v>
      </c>
      <c r="R2534" s="1" t="s">
        <v>1078</v>
      </c>
      <c r="S2534" s="1" t="s">
        <v>1078</v>
      </c>
      <c r="U2534" s="1">
        <v>17.3</v>
      </c>
      <c r="V2534" s="1">
        <v>21.2</v>
      </c>
      <c r="W2534" s="7"/>
    </row>
    <row r="2535" spans="1:23" x14ac:dyDescent="0.2">
      <c r="A2535" s="1" t="s">
        <v>2510</v>
      </c>
      <c r="B2535" s="1" t="s">
        <v>2542</v>
      </c>
      <c r="O2535" s="1" t="s">
        <v>1078</v>
      </c>
      <c r="P2535" s="1" t="s">
        <v>1078</v>
      </c>
      <c r="Q2535" s="1" t="s">
        <v>1078</v>
      </c>
      <c r="R2535" s="1" t="s">
        <v>1078</v>
      </c>
      <c r="S2535" s="1" t="s">
        <v>1078</v>
      </c>
      <c r="U2535" s="1">
        <v>38.1</v>
      </c>
      <c r="V2535" s="1">
        <v>90</v>
      </c>
      <c r="W2535" s="7"/>
    </row>
    <row r="2536" spans="1:23" x14ac:dyDescent="0.2">
      <c r="A2536" s="1" t="s">
        <v>2510</v>
      </c>
      <c r="B2536" s="1" t="s">
        <v>2543</v>
      </c>
      <c r="O2536" s="1" t="s">
        <v>1078</v>
      </c>
      <c r="P2536" s="1" t="s">
        <v>1078</v>
      </c>
      <c r="Q2536" s="1" t="s">
        <v>1078</v>
      </c>
      <c r="R2536" s="1" t="s">
        <v>1078</v>
      </c>
      <c r="S2536" s="1" t="s">
        <v>1078</v>
      </c>
      <c r="U2536" s="1">
        <v>40.299999999999997</v>
      </c>
      <c r="V2536" s="1">
        <v>46</v>
      </c>
      <c r="W2536" s="7"/>
    </row>
    <row r="2537" spans="1:23" x14ac:dyDescent="0.2">
      <c r="A2537" s="1" t="s">
        <v>2510</v>
      </c>
      <c r="B2537" s="1" t="s">
        <v>2544</v>
      </c>
      <c r="O2537" s="1" t="s">
        <v>1078</v>
      </c>
      <c r="P2537" s="1" t="s">
        <v>1078</v>
      </c>
      <c r="Q2537" s="1" t="s">
        <v>1078</v>
      </c>
      <c r="R2537" s="1" t="s">
        <v>1078</v>
      </c>
      <c r="S2537" s="1" t="s">
        <v>1078</v>
      </c>
      <c r="U2537" s="1">
        <v>58.1</v>
      </c>
      <c r="V2537" s="1">
        <v>52.1</v>
      </c>
      <c r="W2537" s="7"/>
    </row>
    <row r="2538" spans="1:23" x14ac:dyDescent="0.2">
      <c r="A2538" s="1" t="s">
        <v>2510</v>
      </c>
      <c r="B2538" s="1" t="s">
        <v>2545</v>
      </c>
      <c r="O2538" s="1" t="s">
        <v>1078</v>
      </c>
      <c r="P2538" s="1" t="s">
        <v>1078</v>
      </c>
      <c r="Q2538" s="1" t="s">
        <v>1078</v>
      </c>
      <c r="R2538" s="1" t="s">
        <v>1078</v>
      </c>
      <c r="S2538" s="1" t="s">
        <v>1078</v>
      </c>
      <c r="U2538" s="1">
        <v>6.2</v>
      </c>
      <c r="V2538" s="1">
        <v>8</v>
      </c>
      <c r="W2538" s="7"/>
    </row>
    <row r="2539" spans="1:23" x14ac:dyDescent="0.2">
      <c r="A2539" s="1" t="s">
        <v>2510</v>
      </c>
      <c r="B2539" s="1" t="s">
        <v>2546</v>
      </c>
      <c r="O2539" s="1" t="s">
        <v>1078</v>
      </c>
      <c r="P2539" s="1" t="s">
        <v>1078</v>
      </c>
      <c r="Q2539" s="1" t="s">
        <v>1078</v>
      </c>
      <c r="R2539" s="1" t="s">
        <v>1078</v>
      </c>
      <c r="S2539" s="1" t="s">
        <v>1078</v>
      </c>
      <c r="U2539" s="1">
        <v>9.3000000000000007</v>
      </c>
      <c r="V2539" s="1">
        <v>8</v>
      </c>
      <c r="W2539" s="7"/>
    </row>
    <row r="2540" spans="1:23" x14ac:dyDescent="0.2">
      <c r="A2540" s="1" t="s">
        <v>2510</v>
      </c>
      <c r="B2540" s="1" t="s">
        <v>2547</v>
      </c>
      <c r="O2540" s="1" t="s">
        <v>1078</v>
      </c>
      <c r="P2540" s="1" t="s">
        <v>1078</v>
      </c>
      <c r="Q2540" s="1" t="s">
        <v>1078</v>
      </c>
      <c r="R2540" s="1" t="s">
        <v>1078</v>
      </c>
      <c r="S2540" s="1" t="s">
        <v>1078</v>
      </c>
      <c r="U2540" s="1">
        <v>52.1</v>
      </c>
      <c r="V2540" s="1">
        <v>41</v>
      </c>
      <c r="W2540" s="7"/>
    </row>
    <row r="2541" spans="1:23" x14ac:dyDescent="0.2">
      <c r="A2541" s="1" t="s">
        <v>2510</v>
      </c>
      <c r="B2541" s="1" t="s">
        <v>2548</v>
      </c>
      <c r="O2541" s="1" t="s">
        <v>1078</v>
      </c>
      <c r="P2541" s="1" t="s">
        <v>1078</v>
      </c>
      <c r="Q2541" s="1" t="s">
        <v>1078</v>
      </c>
      <c r="R2541" s="1" t="s">
        <v>1078</v>
      </c>
      <c r="S2541" s="1" t="s">
        <v>1078</v>
      </c>
      <c r="U2541" s="1">
        <v>49</v>
      </c>
      <c r="V2541" s="1">
        <v>43.2</v>
      </c>
      <c r="W2541" s="7"/>
    </row>
    <row r="2542" spans="1:23" x14ac:dyDescent="0.2">
      <c r="A2542" s="1" t="s">
        <v>2510</v>
      </c>
      <c r="B2542" s="1" t="s">
        <v>2549</v>
      </c>
      <c r="O2542" s="1" t="s">
        <v>1078</v>
      </c>
      <c r="P2542" s="1" t="s">
        <v>1078</v>
      </c>
      <c r="Q2542" s="1" t="s">
        <v>1078</v>
      </c>
      <c r="R2542" s="1" t="s">
        <v>1078</v>
      </c>
      <c r="S2542" s="1" t="s">
        <v>1078</v>
      </c>
      <c r="U2542" s="1">
        <v>6.2</v>
      </c>
      <c r="V2542" s="1">
        <v>19.2</v>
      </c>
      <c r="W2542" s="7"/>
    </row>
    <row r="2543" spans="1:23" x14ac:dyDescent="0.2">
      <c r="A2543" s="1" t="s">
        <v>2510</v>
      </c>
      <c r="B2543" s="1" t="s">
        <v>2550</v>
      </c>
      <c r="O2543" s="1" t="s">
        <v>1078</v>
      </c>
      <c r="P2543" s="1" t="s">
        <v>1078</v>
      </c>
      <c r="Q2543" s="1" t="s">
        <v>1078</v>
      </c>
      <c r="R2543" s="1" t="s">
        <v>1078</v>
      </c>
      <c r="S2543" s="1" t="s">
        <v>1078</v>
      </c>
      <c r="U2543" s="1">
        <v>41</v>
      </c>
      <c r="V2543" s="1">
        <v>11</v>
      </c>
      <c r="W2543" s="7"/>
    </row>
    <row r="2544" spans="1:23" x14ac:dyDescent="0.2">
      <c r="A2544" s="1" t="s">
        <v>2510</v>
      </c>
      <c r="B2544" s="1" t="s">
        <v>2551</v>
      </c>
      <c r="O2544" s="1" t="s">
        <v>1078</v>
      </c>
      <c r="P2544" s="1" t="s">
        <v>1078</v>
      </c>
      <c r="Q2544" s="1" t="s">
        <v>1078</v>
      </c>
      <c r="R2544" s="1" t="s">
        <v>1078</v>
      </c>
      <c r="S2544" s="1" t="s">
        <v>1078</v>
      </c>
      <c r="U2544" s="1">
        <v>60.3</v>
      </c>
      <c r="V2544" s="1">
        <v>79.2</v>
      </c>
      <c r="W2544" s="7"/>
    </row>
    <row r="2545" spans="1:23" x14ac:dyDescent="0.2">
      <c r="A2545" s="1" t="s">
        <v>2510</v>
      </c>
      <c r="B2545" s="1" t="s">
        <v>2552</v>
      </c>
      <c r="O2545" s="1" t="s">
        <v>1078</v>
      </c>
      <c r="P2545" s="1" t="s">
        <v>1078</v>
      </c>
      <c r="Q2545" s="1" t="s">
        <v>1078</v>
      </c>
      <c r="R2545" s="1" t="s">
        <v>1078</v>
      </c>
      <c r="S2545" s="1" t="s">
        <v>1078</v>
      </c>
      <c r="U2545" s="1">
        <v>12.2</v>
      </c>
      <c r="V2545" s="1">
        <v>15.2</v>
      </c>
      <c r="W2545" s="7"/>
    </row>
    <row r="2546" spans="1:23" x14ac:dyDescent="0.2">
      <c r="A2546" s="1" t="s">
        <v>2510</v>
      </c>
      <c r="B2546" s="1" t="s">
        <v>2553</v>
      </c>
      <c r="O2546" s="1" t="s">
        <v>1078</v>
      </c>
      <c r="P2546" s="1" t="s">
        <v>1078</v>
      </c>
      <c r="Q2546" s="1" t="s">
        <v>1078</v>
      </c>
      <c r="R2546" s="1" t="s">
        <v>1078</v>
      </c>
      <c r="S2546" s="1" t="s">
        <v>1078</v>
      </c>
      <c r="U2546" s="1">
        <v>4.3</v>
      </c>
      <c r="V2546" s="1">
        <v>5.3</v>
      </c>
      <c r="W2546" s="7"/>
    </row>
    <row r="2547" spans="1:23" x14ac:dyDescent="0.2">
      <c r="A2547" s="1" t="s">
        <v>2510</v>
      </c>
      <c r="B2547" s="1" t="s">
        <v>2554</v>
      </c>
      <c r="O2547" s="1" t="s">
        <v>1078</v>
      </c>
      <c r="P2547" s="1" t="s">
        <v>1078</v>
      </c>
      <c r="Q2547" s="1" t="s">
        <v>1078</v>
      </c>
      <c r="R2547" s="1" t="s">
        <v>1078</v>
      </c>
      <c r="S2547" s="1" t="s">
        <v>1078</v>
      </c>
      <c r="U2547" s="1">
        <v>9.3000000000000007</v>
      </c>
      <c r="V2547" s="1">
        <v>4.3</v>
      </c>
      <c r="W2547" s="7"/>
    </row>
    <row r="2548" spans="1:23" x14ac:dyDescent="0.2">
      <c r="A2548" s="1" t="s">
        <v>2510</v>
      </c>
      <c r="B2548" s="1" t="s">
        <v>2555</v>
      </c>
      <c r="O2548" s="1" t="s">
        <v>1078</v>
      </c>
      <c r="P2548" s="1" t="s">
        <v>1078</v>
      </c>
      <c r="Q2548" s="1" t="s">
        <v>1078</v>
      </c>
      <c r="R2548" s="1" t="s">
        <v>1078</v>
      </c>
      <c r="S2548" s="1" t="s">
        <v>1078</v>
      </c>
      <c r="U2548" s="1">
        <v>14.2</v>
      </c>
      <c r="V2548" s="1">
        <v>24.1</v>
      </c>
      <c r="W2548" s="7"/>
    </row>
    <row r="2549" spans="1:23" x14ac:dyDescent="0.2">
      <c r="A2549" s="1" t="s">
        <v>2510</v>
      </c>
      <c r="B2549" s="1" t="s">
        <v>2556</v>
      </c>
      <c r="V2549" s="1">
        <v>73.2</v>
      </c>
      <c r="W2549" s="7"/>
    </row>
    <row r="2550" spans="1:23" x14ac:dyDescent="0.2">
      <c r="A2550" s="1" t="s">
        <v>2510</v>
      </c>
      <c r="B2550" s="1" t="s">
        <v>2557</v>
      </c>
      <c r="O2550" s="1" t="s">
        <v>1078</v>
      </c>
      <c r="P2550" s="1" t="s">
        <v>1078</v>
      </c>
      <c r="Q2550" s="1" t="s">
        <v>1078</v>
      </c>
      <c r="R2550" s="1" t="s">
        <v>1078</v>
      </c>
      <c r="S2550" s="1" t="s">
        <v>1078</v>
      </c>
      <c r="T2550" s="1">
        <v>69.3</v>
      </c>
      <c r="W2550" s="7"/>
    </row>
    <row r="2551" spans="1:23" x14ac:dyDescent="0.2">
      <c r="A2551" s="1" t="s">
        <v>2510</v>
      </c>
      <c r="B2551" s="1" t="s">
        <v>2558</v>
      </c>
      <c r="O2551" s="1" t="s">
        <v>1078</v>
      </c>
      <c r="P2551" s="1" t="s">
        <v>1078</v>
      </c>
      <c r="Q2551" s="1" t="s">
        <v>1078</v>
      </c>
      <c r="R2551" s="1" t="s">
        <v>1078</v>
      </c>
      <c r="S2551" s="1" t="s">
        <v>1078</v>
      </c>
      <c r="T2551" s="1">
        <v>68.2</v>
      </c>
      <c r="U2551" s="1">
        <v>49.2</v>
      </c>
      <c r="V2551" s="1">
        <v>87.2</v>
      </c>
      <c r="W2551" s="7"/>
    </row>
    <row r="2552" spans="1:23" x14ac:dyDescent="0.2">
      <c r="A2552" s="1" t="s">
        <v>2510</v>
      </c>
      <c r="B2552" s="1" t="s">
        <v>2559</v>
      </c>
      <c r="O2552" s="1" t="s">
        <v>1078</v>
      </c>
      <c r="P2552" s="1" t="s">
        <v>1078</v>
      </c>
      <c r="Q2552" s="1" t="s">
        <v>1078</v>
      </c>
      <c r="R2552" s="1" t="s">
        <v>1078</v>
      </c>
      <c r="S2552" s="1" t="s">
        <v>1078</v>
      </c>
      <c r="T2552" s="1" t="s">
        <v>1078</v>
      </c>
      <c r="U2552" s="1" t="s">
        <v>1078</v>
      </c>
      <c r="V2552" s="1">
        <v>26.3</v>
      </c>
      <c r="W2552" s="7"/>
    </row>
    <row r="2553" spans="1:23" x14ac:dyDescent="0.2">
      <c r="A2553" s="1" t="s">
        <v>2510</v>
      </c>
      <c r="B2553" s="1" t="s">
        <v>2560</v>
      </c>
      <c r="V2553" s="1">
        <v>4.2</v>
      </c>
      <c r="W2553" s="7"/>
    </row>
    <row r="2554" spans="1:23" x14ac:dyDescent="0.2">
      <c r="A2554" s="1" t="s">
        <v>2510</v>
      </c>
      <c r="B2554" s="1" t="s">
        <v>2561</v>
      </c>
      <c r="V2554" s="1">
        <v>2.2000000000000002</v>
      </c>
      <c r="W2554" s="7"/>
    </row>
    <row r="2555" spans="1:23" s="10" customFormat="1" x14ac:dyDescent="0.2">
      <c r="A2555" s="1" t="s">
        <v>2510</v>
      </c>
      <c r="B2555" s="1" t="s">
        <v>2562</v>
      </c>
      <c r="C2555" s="1"/>
      <c r="D2555" s="1"/>
      <c r="E2555" s="1"/>
      <c r="F2555" s="1"/>
      <c r="G2555" s="1"/>
      <c r="H2555" s="1"/>
      <c r="I2555" s="1"/>
      <c r="J2555" s="1"/>
      <c r="K2555" s="1"/>
      <c r="L2555" s="1"/>
      <c r="M2555" s="1"/>
      <c r="N2555" s="1"/>
      <c r="O2555" s="1"/>
      <c r="P2555" s="1"/>
      <c r="Q2555" s="1"/>
      <c r="R2555" s="1"/>
      <c r="S2555" s="1"/>
      <c r="T2555" s="1"/>
      <c r="U2555" s="1"/>
      <c r="V2555" s="1">
        <v>45.1</v>
      </c>
      <c r="W2555" s="8"/>
    </row>
    <row r="2556" spans="1:23" s="10" customFormat="1" x14ac:dyDescent="0.2">
      <c r="A2556" s="1" t="s">
        <v>2510</v>
      </c>
      <c r="B2556" s="1" t="s">
        <v>2563</v>
      </c>
      <c r="C2556" s="1"/>
      <c r="D2556" s="1"/>
      <c r="E2556" s="1"/>
      <c r="F2556" s="1"/>
      <c r="G2556" s="1"/>
      <c r="H2556" s="1"/>
      <c r="I2556" s="1"/>
      <c r="J2556" s="1"/>
      <c r="K2556" s="1"/>
      <c r="L2556" s="1"/>
      <c r="M2556" s="1"/>
      <c r="N2556" s="1"/>
      <c r="O2556" s="1"/>
      <c r="P2556" s="1"/>
      <c r="Q2556" s="1"/>
      <c r="R2556" s="1"/>
      <c r="S2556" s="1"/>
      <c r="T2556" s="1"/>
      <c r="U2556" s="1"/>
      <c r="V2556" s="1">
        <v>30</v>
      </c>
      <c r="W2556" s="8"/>
    </row>
    <row r="2557" spans="1:23" s="10" customFormat="1" x14ac:dyDescent="0.2">
      <c r="A2557" s="1" t="s">
        <v>2510</v>
      </c>
      <c r="B2557" s="1" t="s">
        <v>2564</v>
      </c>
      <c r="C2557" s="1"/>
      <c r="D2557" s="1"/>
      <c r="E2557" s="1"/>
      <c r="F2557" s="1"/>
      <c r="G2557" s="1"/>
      <c r="H2557" s="1"/>
      <c r="I2557" s="1"/>
      <c r="J2557" s="1"/>
      <c r="K2557" s="1"/>
      <c r="L2557" s="1"/>
      <c r="M2557" s="1"/>
      <c r="N2557" s="1"/>
      <c r="O2557" s="1"/>
      <c r="P2557" s="1"/>
      <c r="Q2557" s="1"/>
      <c r="R2557" s="1"/>
      <c r="S2557" s="1"/>
      <c r="T2557" s="1"/>
      <c r="U2557" s="1"/>
      <c r="V2557" s="1">
        <v>9.3000000000000007</v>
      </c>
      <c r="W2557" s="8"/>
    </row>
    <row r="2558" spans="1:23" s="10" customFormat="1" x14ac:dyDescent="0.2">
      <c r="A2558" s="1" t="s">
        <v>2510</v>
      </c>
      <c r="B2558" s="1" t="s">
        <v>2565</v>
      </c>
      <c r="C2558" s="1"/>
      <c r="D2558" s="1"/>
      <c r="E2558" s="1"/>
      <c r="F2558" s="1"/>
      <c r="G2558" s="1"/>
      <c r="H2558" s="1"/>
      <c r="I2558" s="1"/>
      <c r="J2558" s="1"/>
      <c r="K2558" s="1"/>
      <c r="L2558" s="1"/>
      <c r="M2558" s="1"/>
      <c r="N2558" s="1"/>
      <c r="O2558" s="1"/>
      <c r="P2558" s="1"/>
      <c r="Q2558" s="1"/>
      <c r="R2558" s="1"/>
      <c r="S2558" s="1"/>
      <c r="T2558" s="1"/>
      <c r="U2558" s="1"/>
      <c r="V2558" s="1">
        <v>18</v>
      </c>
      <c r="W2558" s="8"/>
    </row>
    <row r="2559" spans="1:23" s="10" customFormat="1" x14ac:dyDescent="0.2">
      <c r="A2559" s="1" t="s">
        <v>2510</v>
      </c>
      <c r="B2559" s="1" t="s">
        <v>2566</v>
      </c>
      <c r="C2559" s="1"/>
      <c r="D2559" s="1"/>
      <c r="E2559" s="1"/>
      <c r="F2559" s="1"/>
      <c r="G2559" s="1"/>
      <c r="H2559" s="1"/>
      <c r="I2559" s="1"/>
      <c r="J2559" s="1"/>
      <c r="K2559" s="1"/>
      <c r="L2559" s="1"/>
      <c r="M2559" s="1"/>
      <c r="N2559" s="1"/>
      <c r="O2559" s="1"/>
      <c r="P2559" s="1"/>
      <c r="Q2559" s="1"/>
      <c r="R2559" s="1"/>
      <c r="S2559" s="1"/>
      <c r="T2559" s="1"/>
      <c r="U2559" s="1"/>
      <c r="V2559" s="1">
        <v>35</v>
      </c>
      <c r="W2559" s="8"/>
    </row>
    <row r="2560" spans="1:23" s="10" customFormat="1" x14ac:dyDescent="0.2">
      <c r="A2560" s="1" t="s">
        <v>2510</v>
      </c>
      <c r="B2560" s="1" t="s">
        <v>2567</v>
      </c>
      <c r="C2560" s="1"/>
      <c r="D2560" s="1"/>
      <c r="E2560" s="1"/>
      <c r="F2560" s="1"/>
      <c r="G2560" s="1"/>
      <c r="H2560" s="1"/>
      <c r="I2560" s="1"/>
      <c r="J2560" s="1"/>
      <c r="K2560" s="1"/>
      <c r="L2560" s="1"/>
      <c r="M2560" s="1"/>
      <c r="N2560" s="1"/>
      <c r="O2560" s="1"/>
      <c r="P2560" s="1"/>
      <c r="Q2560" s="1"/>
      <c r="R2560" s="1"/>
      <c r="S2560" s="1"/>
      <c r="T2560" s="1"/>
      <c r="U2560" s="1"/>
      <c r="V2560" s="1">
        <v>10.199999999999999</v>
      </c>
      <c r="W2560" s="8"/>
    </row>
    <row r="2561" spans="1:23" s="10" customFormat="1" x14ac:dyDescent="0.2">
      <c r="A2561" s="1" t="s">
        <v>2510</v>
      </c>
      <c r="B2561" s="1" t="s">
        <v>2568</v>
      </c>
      <c r="C2561" s="1"/>
      <c r="D2561" s="1"/>
      <c r="E2561" s="1"/>
      <c r="F2561" s="1"/>
      <c r="G2561" s="1"/>
      <c r="H2561" s="1"/>
      <c r="I2561" s="1"/>
      <c r="J2561" s="1"/>
      <c r="K2561" s="1"/>
      <c r="L2561" s="1"/>
      <c r="M2561" s="1"/>
      <c r="N2561" s="1"/>
      <c r="O2561" s="1"/>
      <c r="P2561" s="1"/>
      <c r="Q2561" s="1"/>
      <c r="R2561" s="1"/>
      <c r="S2561" s="1"/>
      <c r="T2561" s="1"/>
      <c r="U2561" s="1"/>
      <c r="V2561" s="1">
        <v>40.200000000000003</v>
      </c>
      <c r="W2561" s="8"/>
    </row>
    <row r="2562" spans="1:23" s="10" customFormat="1" x14ac:dyDescent="0.2">
      <c r="A2562" s="1" t="s">
        <v>2510</v>
      </c>
      <c r="B2562" s="1" t="s">
        <v>2569</v>
      </c>
      <c r="C2562" s="1"/>
      <c r="D2562" s="1"/>
      <c r="E2562" s="1"/>
      <c r="F2562" s="1"/>
      <c r="G2562" s="1"/>
      <c r="H2562" s="1"/>
      <c r="I2562" s="1"/>
      <c r="J2562" s="1"/>
      <c r="K2562" s="1"/>
      <c r="L2562" s="1"/>
      <c r="M2562" s="1"/>
      <c r="N2562" s="1"/>
      <c r="O2562" s="1"/>
      <c r="P2562" s="1"/>
      <c r="Q2562" s="1"/>
      <c r="R2562" s="1"/>
      <c r="S2562" s="1"/>
      <c r="T2562" s="1"/>
      <c r="U2562" s="1"/>
      <c r="V2562" s="1">
        <v>23.3</v>
      </c>
      <c r="W2562" s="8"/>
    </row>
    <row r="2563" spans="1:23" s="10" customFormat="1" x14ac:dyDescent="0.2">
      <c r="A2563" s="1" t="s">
        <v>2510</v>
      </c>
      <c r="B2563" s="1" t="s">
        <v>2570</v>
      </c>
      <c r="C2563" s="1"/>
      <c r="D2563" s="1"/>
      <c r="E2563" s="1"/>
      <c r="F2563" s="1"/>
      <c r="G2563" s="1"/>
      <c r="H2563" s="1"/>
      <c r="I2563" s="1"/>
      <c r="J2563" s="1"/>
      <c r="K2563" s="1"/>
      <c r="L2563" s="1"/>
      <c r="M2563" s="1"/>
      <c r="N2563" s="1"/>
      <c r="O2563" s="1"/>
      <c r="P2563" s="1"/>
      <c r="Q2563" s="1"/>
      <c r="R2563" s="1"/>
      <c r="S2563" s="1"/>
      <c r="T2563" s="1"/>
      <c r="U2563" s="1"/>
      <c r="V2563" s="1">
        <v>49.2</v>
      </c>
      <c r="W2563" s="8"/>
    </row>
    <row r="2564" spans="1:23" s="10" customFormat="1" x14ac:dyDescent="0.2">
      <c r="A2564" s="1" t="s">
        <v>2510</v>
      </c>
      <c r="B2564" s="1" t="s">
        <v>2571</v>
      </c>
      <c r="C2564" s="1"/>
      <c r="D2564" s="1"/>
      <c r="E2564" s="1"/>
      <c r="F2564" s="1"/>
      <c r="G2564" s="1"/>
      <c r="H2564" s="1"/>
      <c r="I2564" s="1"/>
      <c r="J2564" s="1"/>
      <c r="K2564" s="1"/>
      <c r="L2564" s="1"/>
      <c r="M2564" s="1"/>
      <c r="N2564" s="1"/>
      <c r="O2564" s="1"/>
      <c r="P2564" s="1"/>
      <c r="Q2564" s="1"/>
      <c r="R2564" s="1"/>
      <c r="S2564" s="1"/>
      <c r="T2564" s="1"/>
      <c r="U2564" s="1"/>
      <c r="V2564" s="1">
        <v>6</v>
      </c>
      <c r="W2564" s="8"/>
    </row>
    <row r="2565" spans="1:23" s="10" customFormat="1" x14ac:dyDescent="0.2">
      <c r="A2565" s="1" t="s">
        <v>2510</v>
      </c>
      <c r="B2565" s="1" t="s">
        <v>2572</v>
      </c>
      <c r="C2565" s="1"/>
      <c r="D2565" s="1"/>
      <c r="E2565" s="1"/>
      <c r="F2565" s="1"/>
      <c r="G2565" s="1"/>
      <c r="H2565" s="1"/>
      <c r="I2565" s="1"/>
      <c r="J2565" s="1"/>
      <c r="K2565" s="1"/>
      <c r="L2565" s="1"/>
      <c r="M2565" s="1"/>
      <c r="N2565" s="1"/>
      <c r="O2565" s="1"/>
      <c r="P2565" s="1"/>
      <c r="Q2565" s="1"/>
      <c r="R2565" s="1"/>
      <c r="S2565" s="1"/>
      <c r="T2565" s="1"/>
      <c r="U2565" s="1"/>
      <c r="V2565" s="1">
        <v>1.3</v>
      </c>
      <c r="W2565" s="8"/>
    </row>
    <row r="2566" spans="1:23" s="10" customFormat="1" x14ac:dyDescent="0.2">
      <c r="A2566" s="1" t="s">
        <v>2510</v>
      </c>
      <c r="B2566" s="1" t="s">
        <v>2573</v>
      </c>
      <c r="C2566" s="1"/>
      <c r="D2566" s="1"/>
      <c r="E2566" s="1"/>
      <c r="F2566" s="1"/>
      <c r="G2566" s="1"/>
      <c r="H2566" s="1"/>
      <c r="I2566" s="1"/>
      <c r="J2566" s="1"/>
      <c r="K2566" s="1"/>
      <c r="L2566" s="1"/>
      <c r="M2566" s="1"/>
      <c r="N2566" s="1"/>
      <c r="O2566" s="1"/>
      <c r="P2566" s="1"/>
      <c r="Q2566" s="1"/>
      <c r="R2566" s="1"/>
      <c r="S2566" s="1"/>
      <c r="T2566" s="1"/>
      <c r="U2566" s="1"/>
      <c r="V2566" s="1">
        <v>10.199999999999999</v>
      </c>
      <c r="W2566" s="8"/>
    </row>
    <row r="2567" spans="1:23" s="10" customFormat="1" x14ac:dyDescent="0.2">
      <c r="A2567" s="1" t="s">
        <v>2510</v>
      </c>
      <c r="B2567" s="1" t="s">
        <v>2574</v>
      </c>
      <c r="C2567" s="1"/>
      <c r="D2567" s="1"/>
      <c r="E2567" s="1"/>
      <c r="F2567" s="1"/>
      <c r="G2567" s="1"/>
      <c r="H2567" s="1"/>
      <c r="I2567" s="1"/>
      <c r="J2567" s="1"/>
      <c r="K2567" s="1"/>
      <c r="L2567" s="1"/>
      <c r="M2567" s="1"/>
      <c r="N2567" s="1"/>
      <c r="O2567" s="1"/>
      <c r="P2567" s="1"/>
      <c r="Q2567" s="1"/>
      <c r="R2567" s="1"/>
      <c r="S2567" s="1"/>
      <c r="T2567" s="1"/>
      <c r="U2567" s="1"/>
      <c r="V2567" s="1">
        <v>7</v>
      </c>
      <c r="W2567" s="8"/>
    </row>
    <row r="2568" spans="1:23" s="10" customFormat="1" x14ac:dyDescent="0.2">
      <c r="A2568" s="1" t="s">
        <v>2510</v>
      </c>
      <c r="B2568" s="1" t="s">
        <v>2575</v>
      </c>
      <c r="C2568" s="1"/>
      <c r="D2568" s="1"/>
      <c r="E2568" s="1"/>
      <c r="F2568" s="1"/>
      <c r="G2568" s="1"/>
      <c r="H2568" s="1"/>
      <c r="I2568" s="1"/>
      <c r="J2568" s="1"/>
      <c r="K2568" s="1"/>
      <c r="L2568" s="1"/>
      <c r="M2568" s="1"/>
      <c r="N2568" s="1"/>
      <c r="O2568" s="1"/>
      <c r="P2568" s="1"/>
      <c r="Q2568" s="1"/>
      <c r="R2568" s="1"/>
      <c r="S2568" s="1"/>
      <c r="T2568" s="1"/>
      <c r="U2568" s="1"/>
      <c r="V2568" s="1">
        <v>39.200000000000003</v>
      </c>
      <c r="W2568" s="8"/>
    </row>
    <row r="2569" spans="1:23" s="10" customFormat="1" x14ac:dyDescent="0.2">
      <c r="A2569" s="1" t="s">
        <v>2510</v>
      </c>
      <c r="B2569" s="1" t="s">
        <v>2576</v>
      </c>
      <c r="C2569" s="1"/>
      <c r="D2569" s="1"/>
      <c r="E2569" s="1"/>
      <c r="F2569" s="1"/>
      <c r="G2569" s="1"/>
      <c r="H2569" s="1"/>
      <c r="I2569" s="1"/>
      <c r="J2569" s="1"/>
      <c r="K2569" s="1"/>
      <c r="L2569" s="1"/>
      <c r="M2569" s="1"/>
      <c r="N2569" s="1"/>
      <c r="O2569" s="1"/>
      <c r="P2569" s="1"/>
      <c r="Q2569" s="1"/>
      <c r="R2569" s="1"/>
      <c r="S2569" s="1"/>
      <c r="T2569" s="1"/>
      <c r="U2569" s="1"/>
      <c r="V2569" s="1">
        <v>72.099999999999994</v>
      </c>
      <c r="W2569" s="8"/>
    </row>
    <row r="2570" spans="1:23" s="10" customFormat="1" x14ac:dyDescent="0.2">
      <c r="A2570" s="1" t="s">
        <v>2510</v>
      </c>
      <c r="B2570" s="1" t="s">
        <v>2577</v>
      </c>
      <c r="C2570" s="1"/>
      <c r="D2570" s="1"/>
      <c r="E2570" s="1"/>
      <c r="F2570" s="1"/>
      <c r="G2570" s="1"/>
      <c r="H2570" s="1"/>
      <c r="I2570" s="1"/>
      <c r="J2570" s="1"/>
      <c r="K2570" s="1"/>
      <c r="L2570" s="1"/>
      <c r="M2570" s="1"/>
      <c r="N2570" s="1"/>
      <c r="O2570" s="1"/>
      <c r="P2570" s="1"/>
      <c r="Q2570" s="1"/>
      <c r="R2570" s="1"/>
      <c r="S2570" s="1"/>
      <c r="T2570" s="1"/>
      <c r="U2570" s="1"/>
      <c r="V2570" s="1">
        <v>20.2</v>
      </c>
      <c r="W2570" s="8"/>
    </row>
    <row r="2571" spans="1:23" s="10" customFormat="1" x14ac:dyDescent="0.2">
      <c r="A2571" s="1" t="s">
        <v>2510</v>
      </c>
      <c r="B2571" s="1" t="s">
        <v>2578</v>
      </c>
      <c r="C2571" s="1"/>
      <c r="D2571" s="1"/>
      <c r="E2571" s="1"/>
      <c r="F2571" s="1"/>
      <c r="G2571" s="1"/>
      <c r="H2571" s="1"/>
      <c r="I2571" s="1"/>
      <c r="J2571" s="1"/>
      <c r="K2571" s="1"/>
      <c r="L2571" s="1"/>
      <c r="M2571" s="1"/>
      <c r="N2571" s="1"/>
      <c r="O2571" s="1"/>
      <c r="P2571" s="1"/>
      <c r="Q2571" s="1"/>
      <c r="R2571" s="1"/>
      <c r="S2571" s="1"/>
      <c r="T2571" s="1"/>
      <c r="U2571" s="1"/>
      <c r="V2571" s="1">
        <v>5</v>
      </c>
      <c r="W2571" s="8"/>
    </row>
    <row r="2572" spans="1:23" s="10" customFormat="1" x14ac:dyDescent="0.2">
      <c r="A2572" s="1" t="s">
        <v>2510</v>
      </c>
      <c r="B2572" s="1" t="s">
        <v>2579</v>
      </c>
      <c r="C2572" s="1"/>
      <c r="D2572" s="1"/>
      <c r="E2572" s="1"/>
      <c r="F2572" s="1"/>
      <c r="G2572" s="1"/>
      <c r="H2572" s="1"/>
      <c r="I2572" s="1"/>
      <c r="J2572" s="1"/>
      <c r="K2572" s="1"/>
      <c r="L2572" s="1"/>
      <c r="M2572" s="1"/>
      <c r="N2572" s="1"/>
      <c r="O2572" s="1"/>
      <c r="P2572" s="1"/>
      <c r="Q2572" s="1"/>
      <c r="R2572" s="1"/>
      <c r="S2572" s="1"/>
      <c r="T2572" s="1"/>
      <c r="U2572" s="1"/>
      <c r="V2572" s="1">
        <v>16.100000000000001</v>
      </c>
      <c r="W2572" s="8"/>
    </row>
    <row r="2573" spans="1:23" s="10" customFormat="1" x14ac:dyDescent="0.2">
      <c r="A2573" s="1" t="s">
        <v>2510</v>
      </c>
      <c r="B2573" s="1" t="s">
        <v>2580</v>
      </c>
      <c r="C2573" s="1"/>
      <c r="D2573" s="1"/>
      <c r="E2573" s="1"/>
      <c r="F2573" s="1"/>
      <c r="G2573" s="1"/>
      <c r="H2573" s="1"/>
      <c r="I2573" s="1"/>
      <c r="J2573" s="1"/>
      <c r="K2573" s="1"/>
      <c r="L2573" s="1"/>
      <c r="M2573" s="1"/>
      <c r="N2573" s="1"/>
      <c r="O2573" s="1"/>
      <c r="P2573" s="1"/>
      <c r="Q2573" s="1"/>
      <c r="R2573" s="1"/>
      <c r="S2573" s="1"/>
      <c r="T2573" s="1"/>
      <c r="U2573" s="1"/>
      <c r="V2573" s="1">
        <v>8</v>
      </c>
      <c r="W2573" s="8"/>
    </row>
    <row r="2574" spans="1:23" s="10" customFormat="1" x14ac:dyDescent="0.2">
      <c r="A2574" s="1" t="s">
        <v>2510</v>
      </c>
      <c r="B2574" s="1" t="s">
        <v>2581</v>
      </c>
      <c r="C2574" s="1"/>
      <c r="D2574" s="1"/>
      <c r="E2574" s="1"/>
      <c r="F2574" s="1"/>
      <c r="G2574" s="1"/>
      <c r="H2574" s="1"/>
      <c r="I2574" s="1"/>
      <c r="J2574" s="1"/>
      <c r="K2574" s="1"/>
      <c r="L2574" s="1"/>
      <c r="M2574" s="1"/>
      <c r="N2574" s="1"/>
      <c r="O2574" s="1"/>
      <c r="P2574" s="1"/>
      <c r="Q2574" s="1"/>
      <c r="R2574" s="1"/>
      <c r="S2574" s="1"/>
      <c r="T2574" s="1"/>
      <c r="U2574" s="1"/>
      <c r="V2574" s="1">
        <v>55</v>
      </c>
      <c r="W2574" s="8"/>
    </row>
    <row r="2575" spans="1:23" s="10" customFormat="1" x14ac:dyDescent="0.2">
      <c r="A2575" s="1" t="s">
        <v>2510</v>
      </c>
      <c r="B2575" s="1" t="s">
        <v>2582</v>
      </c>
      <c r="C2575" s="1"/>
      <c r="D2575" s="1"/>
      <c r="E2575" s="1"/>
      <c r="F2575" s="1"/>
      <c r="G2575" s="1"/>
      <c r="H2575" s="1"/>
      <c r="I2575" s="1"/>
      <c r="J2575" s="1"/>
      <c r="K2575" s="1"/>
      <c r="L2575" s="1"/>
      <c r="M2575" s="1"/>
      <c r="N2575" s="1"/>
      <c r="O2575" s="1"/>
      <c r="P2575" s="1"/>
      <c r="Q2575" s="1"/>
      <c r="R2575" s="1"/>
      <c r="S2575" s="1"/>
      <c r="T2575" s="1"/>
      <c r="U2575" s="1"/>
      <c r="V2575" s="1">
        <v>21.2</v>
      </c>
      <c r="W2575" s="8"/>
    </row>
    <row r="2576" spans="1:23" s="10" customFormat="1" x14ac:dyDescent="0.2">
      <c r="A2576" s="1" t="s">
        <v>2510</v>
      </c>
      <c r="B2576" s="1" t="s">
        <v>2583</v>
      </c>
      <c r="C2576" s="1"/>
      <c r="D2576" s="1"/>
      <c r="E2576" s="1"/>
      <c r="F2576" s="1"/>
      <c r="G2576" s="1"/>
      <c r="H2576" s="1"/>
      <c r="I2576" s="1"/>
      <c r="J2576" s="1"/>
      <c r="K2576" s="1"/>
      <c r="L2576" s="1"/>
      <c r="M2576" s="1"/>
      <c r="N2576" s="1"/>
      <c r="O2576" s="1"/>
      <c r="P2576" s="1"/>
      <c r="Q2576" s="1"/>
      <c r="R2576" s="1"/>
      <c r="S2576" s="1"/>
      <c r="T2576" s="1"/>
      <c r="U2576" s="1"/>
      <c r="V2576" s="1">
        <v>8.3000000000000007</v>
      </c>
      <c r="W2576" s="8"/>
    </row>
    <row r="2577" spans="1:23" s="10" customFormat="1" x14ac:dyDescent="0.2">
      <c r="A2577" s="1" t="s">
        <v>2510</v>
      </c>
      <c r="B2577" s="1" t="s">
        <v>2584</v>
      </c>
      <c r="C2577" s="1"/>
      <c r="D2577" s="1"/>
      <c r="E2577" s="1"/>
      <c r="F2577" s="1"/>
      <c r="G2577" s="1"/>
      <c r="H2577" s="1"/>
      <c r="I2577" s="1"/>
      <c r="J2577" s="1"/>
      <c r="K2577" s="1"/>
      <c r="L2577" s="1"/>
      <c r="M2577" s="1"/>
      <c r="N2577" s="1"/>
      <c r="O2577" s="1"/>
      <c r="P2577" s="1"/>
      <c r="Q2577" s="1"/>
      <c r="R2577" s="1"/>
      <c r="S2577" s="1"/>
      <c r="T2577" s="1"/>
      <c r="U2577" s="1"/>
      <c r="V2577" s="1">
        <v>86.2</v>
      </c>
      <c r="W2577" s="8"/>
    </row>
    <row r="2578" spans="1:23" s="10" customFormat="1" x14ac:dyDescent="0.2">
      <c r="A2578" s="1" t="s">
        <v>2510</v>
      </c>
      <c r="B2578" s="1" t="s">
        <v>2585</v>
      </c>
      <c r="C2578" s="1"/>
      <c r="D2578" s="1"/>
      <c r="E2578" s="1"/>
      <c r="F2578" s="1"/>
      <c r="G2578" s="1"/>
      <c r="H2578" s="1"/>
      <c r="I2578" s="1"/>
      <c r="J2578" s="1"/>
      <c r="K2578" s="1"/>
      <c r="L2578" s="1"/>
      <c r="M2578" s="1"/>
      <c r="N2578" s="1"/>
      <c r="O2578" s="1"/>
      <c r="P2578" s="1"/>
      <c r="Q2578" s="1"/>
      <c r="R2578" s="1"/>
      <c r="S2578" s="1"/>
      <c r="T2578" s="1"/>
      <c r="U2578" s="1"/>
      <c r="V2578" s="1">
        <v>83.2</v>
      </c>
      <c r="W2578" s="8"/>
    </row>
    <row r="2579" spans="1:23" s="10" customFormat="1" x14ac:dyDescent="0.2">
      <c r="A2579" s="1" t="s">
        <v>2510</v>
      </c>
      <c r="B2579" s="1" t="s">
        <v>2586</v>
      </c>
      <c r="C2579" s="1"/>
      <c r="D2579" s="1"/>
      <c r="E2579" s="1"/>
      <c r="F2579" s="1"/>
      <c r="G2579" s="1"/>
      <c r="H2579" s="1"/>
      <c r="I2579" s="1"/>
      <c r="J2579" s="1"/>
      <c r="K2579" s="1"/>
      <c r="L2579" s="1"/>
      <c r="M2579" s="1"/>
      <c r="N2579" s="1"/>
      <c r="O2579" s="1"/>
      <c r="P2579" s="1"/>
      <c r="Q2579" s="1"/>
      <c r="R2579" s="1"/>
      <c r="S2579" s="1"/>
      <c r="T2579" s="1"/>
      <c r="U2579" s="1"/>
      <c r="V2579" s="1">
        <v>41.3</v>
      </c>
      <c r="W2579" s="8"/>
    </row>
    <row r="2580" spans="1:23" s="10" customFormat="1" x14ac:dyDescent="0.2">
      <c r="A2580" s="1" t="s">
        <v>2510</v>
      </c>
      <c r="B2580" s="1" t="s">
        <v>2587</v>
      </c>
      <c r="C2580" s="1"/>
      <c r="D2580" s="1"/>
      <c r="E2580" s="1"/>
      <c r="F2580" s="1"/>
      <c r="G2580" s="1"/>
      <c r="H2580" s="1"/>
      <c r="I2580" s="1"/>
      <c r="J2580" s="1"/>
      <c r="K2580" s="1"/>
      <c r="L2580" s="1"/>
      <c r="M2580" s="1"/>
      <c r="N2580" s="1"/>
      <c r="O2580" s="1"/>
      <c r="P2580" s="1"/>
      <c r="Q2580" s="1"/>
      <c r="R2580" s="1"/>
      <c r="S2580" s="1"/>
      <c r="T2580" s="1"/>
      <c r="U2580" s="1"/>
      <c r="V2580" s="1">
        <v>3.2</v>
      </c>
      <c r="W2580" s="8"/>
    </row>
    <row r="2581" spans="1:23" s="10" customFormat="1" x14ac:dyDescent="0.2">
      <c r="A2581" s="1" t="s">
        <v>2510</v>
      </c>
      <c r="B2581" s="1" t="s">
        <v>2588</v>
      </c>
      <c r="C2581" s="1"/>
      <c r="D2581" s="1"/>
      <c r="E2581" s="1"/>
      <c r="F2581" s="1"/>
      <c r="G2581" s="1"/>
      <c r="H2581" s="1"/>
      <c r="I2581" s="1"/>
      <c r="J2581" s="1"/>
      <c r="K2581" s="1"/>
      <c r="L2581" s="1"/>
      <c r="M2581" s="1"/>
      <c r="N2581" s="1"/>
      <c r="O2581" s="1"/>
      <c r="P2581" s="1"/>
      <c r="Q2581" s="1"/>
      <c r="R2581" s="1"/>
      <c r="S2581" s="1"/>
      <c r="T2581" s="1"/>
      <c r="U2581" s="1"/>
      <c r="V2581" s="1">
        <v>75.2</v>
      </c>
      <c r="W2581" s="8"/>
    </row>
    <row r="2582" spans="1:23" s="10" customFormat="1" x14ac:dyDescent="0.2">
      <c r="A2582" s="1" t="s">
        <v>2510</v>
      </c>
      <c r="B2582" s="1" t="s">
        <v>2589</v>
      </c>
      <c r="C2582" s="1"/>
      <c r="D2582" s="1"/>
      <c r="E2582" s="1"/>
      <c r="F2582" s="1"/>
      <c r="G2582" s="1"/>
      <c r="H2582" s="1"/>
      <c r="I2582" s="1"/>
      <c r="J2582" s="1"/>
      <c r="K2582" s="1"/>
      <c r="L2582" s="1"/>
      <c r="M2582" s="1"/>
      <c r="N2582" s="1"/>
      <c r="O2582" s="1"/>
      <c r="P2582" s="1"/>
      <c r="Q2582" s="1"/>
      <c r="R2582" s="1"/>
      <c r="S2582" s="1"/>
      <c r="T2582" s="1"/>
      <c r="U2582" s="1"/>
      <c r="V2582" s="1">
        <v>44.2</v>
      </c>
      <c r="W2582" s="8"/>
    </row>
    <row r="2583" spans="1:23" s="10" customFormat="1" x14ac:dyDescent="0.2">
      <c r="A2583" s="1" t="s">
        <v>2510</v>
      </c>
      <c r="B2583" s="1" t="s">
        <v>2590</v>
      </c>
      <c r="C2583" s="1"/>
      <c r="D2583" s="1"/>
      <c r="E2583" s="1"/>
      <c r="F2583" s="1"/>
      <c r="G2583" s="1"/>
      <c r="H2583" s="1"/>
      <c r="I2583" s="1"/>
      <c r="J2583" s="1"/>
      <c r="K2583" s="1"/>
      <c r="L2583" s="1"/>
      <c r="M2583" s="1"/>
      <c r="N2583" s="1"/>
      <c r="O2583" s="1"/>
      <c r="P2583" s="1"/>
      <c r="Q2583" s="1"/>
      <c r="R2583" s="1"/>
      <c r="S2583" s="1"/>
      <c r="T2583" s="1"/>
      <c r="U2583" s="1"/>
      <c r="V2583" s="1">
        <v>70.3</v>
      </c>
      <c r="W2583" s="8"/>
    </row>
    <row r="2584" spans="1:23" s="10" customFormat="1" x14ac:dyDescent="0.2">
      <c r="A2584" s="1" t="s">
        <v>2510</v>
      </c>
      <c r="B2584" s="1" t="s">
        <v>2591</v>
      </c>
      <c r="C2584" s="1"/>
      <c r="D2584" s="1"/>
      <c r="E2584" s="1"/>
      <c r="F2584" s="1"/>
      <c r="G2584" s="1"/>
      <c r="H2584" s="1"/>
      <c r="I2584" s="1"/>
      <c r="J2584" s="1"/>
      <c r="K2584" s="1"/>
      <c r="L2584" s="1"/>
      <c r="M2584" s="1"/>
      <c r="N2584" s="1"/>
      <c r="O2584" s="1"/>
      <c r="P2584" s="1"/>
      <c r="Q2584" s="1"/>
      <c r="R2584" s="1"/>
      <c r="S2584" s="1"/>
      <c r="T2584" s="1"/>
      <c r="U2584" s="1"/>
      <c r="V2584" s="1">
        <v>45.2</v>
      </c>
      <c r="W2584" s="8"/>
    </row>
    <row r="2585" spans="1:23" s="10" customFormat="1" x14ac:dyDescent="0.2">
      <c r="A2585" s="1" t="s">
        <v>2510</v>
      </c>
      <c r="B2585" s="1" t="s">
        <v>2592</v>
      </c>
      <c r="C2585" s="1"/>
      <c r="D2585" s="1"/>
      <c r="E2585" s="1"/>
      <c r="F2585" s="1"/>
      <c r="G2585" s="1"/>
      <c r="H2585" s="1"/>
      <c r="I2585" s="1"/>
      <c r="J2585" s="1"/>
      <c r="K2585" s="1"/>
      <c r="L2585" s="1"/>
      <c r="M2585" s="1"/>
      <c r="N2585" s="1"/>
      <c r="O2585" s="1"/>
      <c r="P2585" s="1"/>
      <c r="Q2585" s="1"/>
      <c r="R2585" s="1"/>
      <c r="S2585" s="1"/>
      <c r="T2585" s="1"/>
      <c r="U2585" s="1"/>
      <c r="V2585" s="1">
        <v>35.200000000000003</v>
      </c>
      <c r="W2585" s="8"/>
    </row>
    <row r="2586" spans="1:23" x14ac:dyDescent="0.2">
      <c r="A2586" s="1" t="s">
        <v>2510</v>
      </c>
      <c r="B2586" s="1" t="s">
        <v>2593</v>
      </c>
      <c r="O2586" s="1">
        <v>31.1</v>
      </c>
      <c r="P2586" s="1">
        <v>25</v>
      </c>
      <c r="Q2586" s="1">
        <v>25.2</v>
      </c>
      <c r="R2586" s="1" t="s">
        <v>2594</v>
      </c>
      <c r="S2586" s="1">
        <v>35.200000000000003</v>
      </c>
      <c r="T2586" s="1">
        <v>33.299999999999997</v>
      </c>
      <c r="U2586" s="1">
        <v>35.200000000000003</v>
      </c>
      <c r="V2586" s="1">
        <v>33</v>
      </c>
      <c r="W2586" s="7"/>
    </row>
    <row r="2587" spans="1:23" x14ac:dyDescent="0.2">
      <c r="A2587" s="1" t="s">
        <v>2510</v>
      </c>
      <c r="B2587" s="1" t="s">
        <v>2595</v>
      </c>
      <c r="S2587" s="1">
        <v>29.3</v>
      </c>
      <c r="T2587" s="1">
        <v>50.1</v>
      </c>
      <c r="U2587" s="1">
        <v>24.3</v>
      </c>
      <c r="V2587" s="1">
        <v>63</v>
      </c>
      <c r="W2587" s="7"/>
    </row>
    <row r="2588" spans="1:23" x14ac:dyDescent="0.2">
      <c r="A2588" s="1" t="s">
        <v>2510</v>
      </c>
      <c r="B2588" s="1" t="s">
        <v>2596</v>
      </c>
      <c r="O2588" s="1" t="s">
        <v>1078</v>
      </c>
      <c r="P2588" s="1">
        <v>12.1</v>
      </c>
      <c r="Q2588" s="1">
        <v>21</v>
      </c>
      <c r="R2588" s="1">
        <v>19.2</v>
      </c>
      <c r="S2588" s="1">
        <v>19.3</v>
      </c>
      <c r="T2588" s="1">
        <v>9</v>
      </c>
      <c r="U2588" s="1">
        <v>14.1</v>
      </c>
      <c r="V2588" s="1">
        <v>14.1</v>
      </c>
      <c r="W2588" s="7"/>
    </row>
    <row r="2589" spans="1:23" x14ac:dyDescent="0.2">
      <c r="A2589" s="1" t="s">
        <v>2510</v>
      </c>
      <c r="B2589" s="1" t="s">
        <v>2597</v>
      </c>
      <c r="S2589" s="1">
        <v>28.2</v>
      </c>
      <c r="T2589" s="1">
        <v>54</v>
      </c>
      <c r="U2589" s="1">
        <v>19</v>
      </c>
      <c r="V2589" s="1">
        <v>50</v>
      </c>
      <c r="W2589" s="7"/>
    </row>
    <row r="2590" spans="1:23" x14ac:dyDescent="0.2">
      <c r="A2590" s="1" t="s">
        <v>2510</v>
      </c>
      <c r="B2590" s="1" t="s">
        <v>2598</v>
      </c>
      <c r="O2590" s="1" t="s">
        <v>1078</v>
      </c>
      <c r="P2590" s="1">
        <v>28.1</v>
      </c>
      <c r="Q2590" s="1">
        <v>41.1</v>
      </c>
      <c r="R2590" s="1">
        <v>24</v>
      </c>
      <c r="W2590" s="7"/>
    </row>
    <row r="2591" spans="1:23" x14ac:dyDescent="0.2">
      <c r="A2591" s="1" t="s">
        <v>2510</v>
      </c>
      <c r="B2591" s="1" t="s">
        <v>2599</v>
      </c>
      <c r="S2591" s="1">
        <v>7.2</v>
      </c>
      <c r="T2591" s="1">
        <v>1</v>
      </c>
      <c r="U2591" s="1">
        <v>34.200000000000003</v>
      </c>
      <c r="W2591" s="7"/>
    </row>
    <row r="2592" spans="1:23" x14ac:dyDescent="0.2">
      <c r="A2592" s="1" t="s">
        <v>2510</v>
      </c>
      <c r="B2592" s="1" t="s">
        <v>2600</v>
      </c>
      <c r="O2592" s="1" t="s">
        <v>1078</v>
      </c>
      <c r="P2592" s="1">
        <v>19.2</v>
      </c>
      <c r="Q2592" s="1">
        <v>12.3</v>
      </c>
      <c r="R2592" s="1">
        <v>20</v>
      </c>
      <c r="S2592" s="1">
        <v>22.2</v>
      </c>
      <c r="T2592" s="1">
        <v>20.100000000000001</v>
      </c>
      <c r="U2592" s="1">
        <v>20.100000000000001</v>
      </c>
      <c r="V2592" s="1">
        <v>37.1</v>
      </c>
      <c r="W2592" s="7"/>
    </row>
    <row r="2593" spans="1:23" x14ac:dyDescent="0.2">
      <c r="A2593" s="1" t="s">
        <v>2510</v>
      </c>
      <c r="B2593" s="1" t="s">
        <v>2601</v>
      </c>
      <c r="O2593" s="1" t="s">
        <v>1078</v>
      </c>
      <c r="P2593" s="1">
        <v>14.1</v>
      </c>
      <c r="Q2593" s="1">
        <v>30.3</v>
      </c>
      <c r="R2593" s="1">
        <v>12.2</v>
      </c>
      <c r="S2593" s="1">
        <v>25</v>
      </c>
      <c r="T2593" s="1">
        <v>28</v>
      </c>
      <c r="U2593" s="1">
        <v>29.1</v>
      </c>
      <c r="V2593" s="1">
        <v>26.2</v>
      </c>
      <c r="W2593" s="7"/>
    </row>
    <row r="2594" spans="1:23" x14ac:dyDescent="0.2">
      <c r="A2594" s="1" t="s">
        <v>2510</v>
      </c>
      <c r="B2594" s="1" t="s">
        <v>2602</v>
      </c>
      <c r="S2594" s="1">
        <v>4.0999999999999996</v>
      </c>
      <c r="T2594" s="1">
        <v>8</v>
      </c>
      <c r="U2594" s="1">
        <v>12.3</v>
      </c>
      <c r="V2594" s="1">
        <v>21.1</v>
      </c>
      <c r="W2594" s="7"/>
    </row>
    <row r="2595" spans="1:23" x14ac:dyDescent="0.2">
      <c r="A2595" s="1" t="s">
        <v>2510</v>
      </c>
      <c r="B2595" s="1" t="s">
        <v>2603</v>
      </c>
      <c r="V2595" s="1">
        <v>4.0999999999999996</v>
      </c>
      <c r="W2595" s="7"/>
    </row>
    <row r="2596" spans="1:23" x14ac:dyDescent="0.2">
      <c r="A2596" s="1" t="s">
        <v>2510</v>
      </c>
      <c r="B2596" s="1" t="s">
        <v>2604</v>
      </c>
      <c r="O2596" s="1" t="s">
        <v>1078</v>
      </c>
      <c r="P2596" s="1">
        <v>4.3</v>
      </c>
      <c r="Q2596" s="1">
        <v>5.2</v>
      </c>
      <c r="R2596" s="1">
        <v>10.3</v>
      </c>
      <c r="S2596" s="1">
        <v>16.3</v>
      </c>
      <c r="T2596" s="1">
        <v>16.2</v>
      </c>
      <c r="U2596" s="1">
        <v>18</v>
      </c>
      <c r="V2596" s="1">
        <v>12.2</v>
      </c>
      <c r="W2596" s="7"/>
    </row>
    <row r="2597" spans="1:23" x14ac:dyDescent="0.2">
      <c r="A2597" s="1" t="s">
        <v>2510</v>
      </c>
      <c r="B2597" s="1" t="s">
        <v>2605</v>
      </c>
      <c r="O2597" s="1" t="s">
        <v>1078</v>
      </c>
      <c r="P2597" s="1">
        <v>23</v>
      </c>
      <c r="Q2597" s="1">
        <v>25.3</v>
      </c>
      <c r="R2597" s="1">
        <v>21.2</v>
      </c>
      <c r="S2597" s="1">
        <v>31.1</v>
      </c>
      <c r="T2597" s="1">
        <v>36</v>
      </c>
      <c r="U2597" s="1">
        <v>31.1</v>
      </c>
      <c r="V2597" s="1">
        <v>39.200000000000003</v>
      </c>
      <c r="W2597" s="7"/>
    </row>
    <row r="2598" spans="1:23" x14ac:dyDescent="0.2">
      <c r="A2598" s="1" t="s">
        <v>2510</v>
      </c>
      <c r="B2598" s="1" t="s">
        <v>2606</v>
      </c>
      <c r="O2598" s="1" t="s">
        <v>1078</v>
      </c>
      <c r="P2598" s="1">
        <v>26.1</v>
      </c>
      <c r="Q2598" s="1">
        <v>19.3</v>
      </c>
      <c r="R2598" s="1">
        <v>16</v>
      </c>
      <c r="S2598" s="1">
        <v>21.1</v>
      </c>
      <c r="T2598" s="1">
        <v>32.299999999999997</v>
      </c>
      <c r="U2598" s="1">
        <v>36.1</v>
      </c>
      <c r="V2598" s="1">
        <v>29.2</v>
      </c>
      <c r="W2598" s="7"/>
    </row>
    <row r="2599" spans="1:23" x14ac:dyDescent="0.2">
      <c r="A2599" s="1" t="s">
        <v>2510</v>
      </c>
      <c r="B2599" s="1" t="s">
        <v>2607</v>
      </c>
      <c r="O2599" s="1" t="s">
        <v>1078</v>
      </c>
      <c r="Q2599" s="1">
        <v>30</v>
      </c>
      <c r="S2599" s="1">
        <v>69.3</v>
      </c>
      <c r="T2599" s="1">
        <v>64.099999999999994</v>
      </c>
      <c r="U2599" s="1">
        <v>59.3</v>
      </c>
      <c r="V2599" s="1">
        <v>53.2</v>
      </c>
      <c r="W2599" s="7"/>
    </row>
    <row r="2600" spans="1:23" x14ac:dyDescent="0.2">
      <c r="A2600" s="1" t="s">
        <v>2510</v>
      </c>
      <c r="B2600" s="1" t="s">
        <v>2608</v>
      </c>
      <c r="V2600" s="1">
        <v>22.1</v>
      </c>
      <c r="W2600" s="7"/>
    </row>
    <row r="2601" spans="1:23" x14ac:dyDescent="0.2">
      <c r="A2601" s="1" t="s">
        <v>2510</v>
      </c>
      <c r="B2601" s="1" t="s">
        <v>2609</v>
      </c>
      <c r="V2601" s="1">
        <v>29</v>
      </c>
      <c r="W2601" s="7"/>
    </row>
    <row r="2602" spans="1:23" x14ac:dyDescent="0.2">
      <c r="A2602" s="1" t="s">
        <v>2510</v>
      </c>
      <c r="B2602" s="1" t="s">
        <v>2610</v>
      </c>
      <c r="U2602" s="1">
        <v>5.3</v>
      </c>
      <c r="V2602" s="1">
        <v>40.1</v>
      </c>
      <c r="W2602" s="7"/>
    </row>
    <row r="2603" spans="1:23" x14ac:dyDescent="0.2">
      <c r="A2603" s="1" t="s">
        <v>2510</v>
      </c>
      <c r="B2603" s="1" t="s">
        <v>2611</v>
      </c>
      <c r="O2603" s="1" t="s">
        <v>1078</v>
      </c>
      <c r="P2603" s="1">
        <v>6.2</v>
      </c>
      <c r="Q2603" s="1">
        <v>8</v>
      </c>
      <c r="R2603" s="1">
        <v>12.1</v>
      </c>
      <c r="S2603" s="1">
        <v>9.3000000000000007</v>
      </c>
      <c r="T2603" s="1">
        <v>12.2</v>
      </c>
      <c r="U2603" s="1">
        <v>16.3</v>
      </c>
      <c r="V2603" s="1">
        <v>11.2</v>
      </c>
      <c r="W2603" s="7"/>
    </row>
    <row r="2604" spans="1:23" x14ac:dyDescent="0.2">
      <c r="A2604" s="1" t="s">
        <v>2510</v>
      </c>
      <c r="B2604" s="1" t="s">
        <v>2612</v>
      </c>
      <c r="O2604" s="1" t="s">
        <v>1078</v>
      </c>
      <c r="P2604" s="1">
        <v>9.3000000000000007</v>
      </c>
      <c r="Q2604" s="1">
        <v>1.3</v>
      </c>
      <c r="R2604" s="1">
        <v>5</v>
      </c>
      <c r="S2604" s="1">
        <v>12.3</v>
      </c>
      <c r="U2604" s="1">
        <v>15.2</v>
      </c>
      <c r="V2604" s="1">
        <v>6.1</v>
      </c>
      <c r="W2604" s="7"/>
    </row>
    <row r="2605" spans="1:23" x14ac:dyDescent="0.2">
      <c r="A2605" s="1" t="s">
        <v>2510</v>
      </c>
      <c r="B2605" s="1" t="s">
        <v>2613</v>
      </c>
      <c r="T2605" s="1">
        <v>22.2</v>
      </c>
      <c r="U2605" s="1">
        <v>113.2</v>
      </c>
      <c r="V2605" s="1">
        <v>16.3</v>
      </c>
      <c r="W2605" s="7"/>
    </row>
    <row r="2606" spans="1:23" x14ac:dyDescent="0.2">
      <c r="A2606" s="1" t="s">
        <v>2510</v>
      </c>
      <c r="B2606" s="1" t="s">
        <v>2614</v>
      </c>
      <c r="S2606" s="1">
        <v>28</v>
      </c>
      <c r="T2606" s="1">
        <v>21</v>
      </c>
      <c r="U2606" s="1">
        <v>26.1</v>
      </c>
      <c r="V2606" s="1">
        <v>26.2</v>
      </c>
      <c r="W2606" s="7"/>
    </row>
    <row r="2607" spans="1:23" x14ac:dyDescent="0.2">
      <c r="A2607" s="1" t="s">
        <v>2510</v>
      </c>
      <c r="B2607" s="1" t="s">
        <v>2615</v>
      </c>
      <c r="V2607" s="1">
        <v>29.2</v>
      </c>
      <c r="W2607" s="7"/>
    </row>
    <row r="2608" spans="1:23" x14ac:dyDescent="0.2">
      <c r="A2608" s="1" t="s">
        <v>2510</v>
      </c>
      <c r="B2608" s="1" t="s">
        <v>2616</v>
      </c>
      <c r="V2608" s="1">
        <v>5.3</v>
      </c>
      <c r="W2608" s="7"/>
    </row>
    <row r="2609" spans="1:23" x14ac:dyDescent="0.2">
      <c r="A2609" s="1" t="s">
        <v>2510</v>
      </c>
      <c r="B2609" s="1" t="s">
        <v>2617</v>
      </c>
      <c r="V2609" s="1">
        <v>7</v>
      </c>
      <c r="W2609" s="7"/>
    </row>
    <row r="2610" spans="1:23" x14ac:dyDescent="0.2">
      <c r="A2610" s="1" t="s">
        <v>2510</v>
      </c>
      <c r="B2610" s="1" t="s">
        <v>2618</v>
      </c>
      <c r="V2610" s="1">
        <v>7</v>
      </c>
      <c r="W2610" s="7"/>
    </row>
    <row r="2611" spans="1:23" x14ac:dyDescent="0.2">
      <c r="A2611" s="1" t="s">
        <v>2510</v>
      </c>
      <c r="B2611" s="1" t="s">
        <v>2619</v>
      </c>
      <c r="S2611" s="1">
        <v>8.1</v>
      </c>
      <c r="T2611" s="1">
        <v>33.1</v>
      </c>
      <c r="U2611" s="1">
        <v>24.2</v>
      </c>
      <c r="V2611" s="1">
        <v>37.299999999999997</v>
      </c>
      <c r="W2611" s="7"/>
    </row>
    <row r="2612" spans="1:23" x14ac:dyDescent="0.2">
      <c r="A2612" s="1" t="s">
        <v>2510</v>
      </c>
      <c r="B2612" s="1" t="s">
        <v>2620</v>
      </c>
      <c r="O2612" s="1" t="s">
        <v>1078</v>
      </c>
      <c r="Q2612" s="1">
        <v>4.0999999999999996</v>
      </c>
      <c r="W2612" s="7"/>
    </row>
    <row r="2613" spans="1:23" x14ac:dyDescent="0.2">
      <c r="A2613" s="1" t="s">
        <v>2510</v>
      </c>
      <c r="B2613" s="1" t="s">
        <v>2621</v>
      </c>
      <c r="W2613" s="7"/>
    </row>
    <row r="2614" spans="1:23" x14ac:dyDescent="0.2">
      <c r="A2614" s="1" t="s">
        <v>2510</v>
      </c>
      <c r="B2614" s="1" t="s">
        <v>2622</v>
      </c>
      <c r="S2614" s="1">
        <v>34.299999999999997</v>
      </c>
      <c r="T2614" s="1">
        <v>15.1</v>
      </c>
      <c r="U2614" s="1">
        <v>13</v>
      </c>
      <c r="V2614" s="1">
        <v>21.3</v>
      </c>
      <c r="W2614" s="7"/>
    </row>
    <row r="2615" spans="1:23" x14ac:dyDescent="0.2">
      <c r="A2615" s="1" t="s">
        <v>2510</v>
      </c>
      <c r="B2615" s="1" t="s">
        <v>2623</v>
      </c>
      <c r="U2615" s="1">
        <v>111.3</v>
      </c>
      <c r="V2615" s="1">
        <v>40</v>
      </c>
      <c r="W2615" s="7"/>
    </row>
    <row r="2616" spans="1:23" x14ac:dyDescent="0.2">
      <c r="A2616" s="1" t="s">
        <v>2510</v>
      </c>
      <c r="B2616" s="1" t="s">
        <v>2624</v>
      </c>
      <c r="U2616" s="1">
        <v>103</v>
      </c>
      <c r="V2616" s="1">
        <v>84.2</v>
      </c>
      <c r="W2616" s="7"/>
    </row>
    <row r="2617" spans="1:23" x14ac:dyDescent="0.2">
      <c r="A2617" s="1" t="s">
        <v>2510</v>
      </c>
      <c r="B2617" s="1" t="s">
        <v>2625</v>
      </c>
      <c r="O2617" s="1" t="s">
        <v>1078</v>
      </c>
      <c r="P2617" s="1">
        <v>20.3</v>
      </c>
      <c r="Q2617" s="1">
        <v>21.2</v>
      </c>
      <c r="R2617" s="1">
        <v>20.3</v>
      </c>
      <c r="S2617" s="1">
        <v>24</v>
      </c>
      <c r="T2617" s="1">
        <v>21.3</v>
      </c>
      <c r="U2617" s="1">
        <v>24</v>
      </c>
      <c r="V2617" s="1">
        <v>23.3</v>
      </c>
      <c r="W2617" s="7"/>
    </row>
    <row r="2618" spans="1:23" x14ac:dyDescent="0.2">
      <c r="A2618" s="1" t="s">
        <v>2510</v>
      </c>
      <c r="B2618" s="1" t="s">
        <v>2626</v>
      </c>
      <c r="O2618" s="1">
        <v>31.1</v>
      </c>
      <c r="P2618" s="1">
        <v>30.3</v>
      </c>
      <c r="Q2618" s="1">
        <v>32</v>
      </c>
      <c r="R2618" s="1" t="s">
        <v>2627</v>
      </c>
      <c r="S2618" s="1">
        <v>40.200000000000003</v>
      </c>
      <c r="T2618" s="1">
        <v>40.1</v>
      </c>
      <c r="U2618" s="1">
        <v>41.2</v>
      </c>
      <c r="V2618" s="1">
        <v>40.299999999999997</v>
      </c>
      <c r="W2618" s="7"/>
    </row>
    <row r="2619" spans="1:23" x14ac:dyDescent="0.2">
      <c r="A2619" s="1" t="s">
        <v>2510</v>
      </c>
      <c r="B2619" s="1" t="s">
        <v>2628</v>
      </c>
      <c r="S2619" s="1">
        <v>62.1</v>
      </c>
      <c r="T2619" s="1">
        <v>69.099999999999994</v>
      </c>
      <c r="U2619" s="1">
        <v>67.2</v>
      </c>
      <c r="V2619" s="1">
        <v>84</v>
      </c>
      <c r="W2619" s="7"/>
    </row>
    <row r="2620" spans="1:23" x14ac:dyDescent="0.2">
      <c r="A2620" s="1" t="s">
        <v>2510</v>
      </c>
      <c r="B2620" s="1" t="s">
        <v>2629</v>
      </c>
      <c r="W2620" s="7"/>
    </row>
    <row r="2621" spans="1:23" x14ac:dyDescent="0.2">
      <c r="A2621" s="1" t="s">
        <v>2510</v>
      </c>
      <c r="B2621" s="1" t="s">
        <v>2630</v>
      </c>
      <c r="O2621" s="1" t="s">
        <v>1078</v>
      </c>
      <c r="P2621" s="1">
        <v>25.1</v>
      </c>
      <c r="Q2621" s="1">
        <v>28</v>
      </c>
      <c r="R2621" s="1">
        <v>34.1</v>
      </c>
      <c r="S2621" s="1">
        <v>42.3</v>
      </c>
      <c r="T2621" s="1">
        <v>64.2</v>
      </c>
      <c r="U2621" s="1">
        <v>46.2</v>
      </c>
      <c r="V2621" s="1">
        <v>74.2</v>
      </c>
      <c r="W2621" s="7"/>
    </row>
    <row r="2622" spans="1:23" x14ac:dyDescent="0.2">
      <c r="A2622" s="1" t="s">
        <v>2510</v>
      </c>
      <c r="B2622" s="1" t="s">
        <v>2631</v>
      </c>
      <c r="S2622" s="1">
        <v>64</v>
      </c>
      <c r="W2622" s="7"/>
    </row>
    <row r="2623" spans="1:23" x14ac:dyDescent="0.2">
      <c r="A2623" s="1" t="s">
        <v>2510</v>
      </c>
      <c r="B2623" s="1" t="s">
        <v>2632</v>
      </c>
      <c r="O2623" s="1">
        <v>10.3</v>
      </c>
      <c r="P2623" s="1">
        <v>8.3000000000000007</v>
      </c>
      <c r="Q2623" s="1">
        <v>9</v>
      </c>
      <c r="R2623" s="1">
        <v>8.3000000000000007</v>
      </c>
      <c r="S2623" s="1">
        <v>8.1</v>
      </c>
      <c r="T2623" s="1">
        <v>8.1999999999999993</v>
      </c>
      <c r="U2623" s="1">
        <v>8.3000000000000007</v>
      </c>
      <c r="V2623" s="1">
        <v>10</v>
      </c>
      <c r="W2623" s="7"/>
    </row>
    <row r="2624" spans="1:23" x14ac:dyDescent="0.2">
      <c r="A2624" s="1" t="s">
        <v>2510</v>
      </c>
      <c r="B2624" s="1" t="s">
        <v>2633</v>
      </c>
      <c r="O2624" s="1">
        <v>10.3</v>
      </c>
      <c r="P2624" s="1">
        <v>11.1</v>
      </c>
      <c r="Q2624" s="1">
        <v>10.3</v>
      </c>
      <c r="R2624" s="1">
        <v>11.3</v>
      </c>
      <c r="S2624" s="1">
        <v>12</v>
      </c>
      <c r="T2624" s="1">
        <v>13.2</v>
      </c>
      <c r="U2624" s="1">
        <v>14.3</v>
      </c>
      <c r="V2624" s="1">
        <v>17</v>
      </c>
      <c r="W2624" s="7"/>
    </row>
    <row r="2625" spans="1:23" x14ac:dyDescent="0.2">
      <c r="A2625" s="1" t="s">
        <v>2510</v>
      </c>
      <c r="B2625" s="1" t="s">
        <v>2634</v>
      </c>
      <c r="O2625" s="1" t="s">
        <v>1078</v>
      </c>
      <c r="P2625" s="1">
        <v>7.1</v>
      </c>
      <c r="Q2625" s="1">
        <v>7.1</v>
      </c>
      <c r="R2625" s="1">
        <v>8.3000000000000007</v>
      </c>
      <c r="T2625" s="1">
        <v>9.3000000000000007</v>
      </c>
      <c r="U2625" s="1">
        <v>10</v>
      </c>
      <c r="V2625" s="1">
        <v>10.199999999999999</v>
      </c>
      <c r="W2625" s="7"/>
    </row>
    <row r="2626" spans="1:23" x14ac:dyDescent="0.2">
      <c r="A2626" s="1" t="s">
        <v>2510</v>
      </c>
      <c r="B2626" s="1" t="s">
        <v>2635</v>
      </c>
      <c r="O2626" s="1" t="s">
        <v>1078</v>
      </c>
      <c r="P2626" s="1">
        <v>13.1</v>
      </c>
      <c r="Q2626" s="1">
        <v>13.3</v>
      </c>
      <c r="R2626" s="1">
        <v>14.2</v>
      </c>
      <c r="S2626" s="1">
        <v>14.1</v>
      </c>
      <c r="T2626" s="1">
        <v>15.2</v>
      </c>
      <c r="U2626" s="1">
        <v>15.2</v>
      </c>
      <c r="V2626" s="1">
        <v>16.2</v>
      </c>
      <c r="W2626" s="7"/>
    </row>
    <row r="2627" spans="1:23" x14ac:dyDescent="0.2">
      <c r="A2627" s="1" t="s">
        <v>2510</v>
      </c>
      <c r="B2627" s="1" t="s">
        <v>2636</v>
      </c>
      <c r="O2627" s="1" t="s">
        <v>1078</v>
      </c>
      <c r="P2627" s="1">
        <v>4</v>
      </c>
      <c r="Q2627" s="1">
        <v>4</v>
      </c>
      <c r="R2627" s="1">
        <v>3.2</v>
      </c>
      <c r="S2627" s="1">
        <v>4</v>
      </c>
      <c r="T2627" s="1">
        <v>4.0999999999999996</v>
      </c>
      <c r="U2627" s="1">
        <v>6.2</v>
      </c>
      <c r="V2627" s="1">
        <v>4</v>
      </c>
      <c r="W2627" s="7"/>
    </row>
    <row r="2628" spans="1:23" x14ac:dyDescent="0.2">
      <c r="A2628" s="1" t="s">
        <v>2510</v>
      </c>
      <c r="B2628" s="1" t="s">
        <v>2637</v>
      </c>
      <c r="O2628" s="1" t="s">
        <v>1078</v>
      </c>
      <c r="P2628" s="1">
        <v>4</v>
      </c>
      <c r="Q2628" s="1">
        <v>3.3</v>
      </c>
      <c r="R2628" s="1">
        <v>4.0999999999999996</v>
      </c>
      <c r="S2628" s="1">
        <v>4.3</v>
      </c>
      <c r="T2628" s="1">
        <v>5.2</v>
      </c>
      <c r="U2628" s="1">
        <v>5.0999999999999996</v>
      </c>
      <c r="V2628" s="1">
        <v>6.1</v>
      </c>
      <c r="W2628" s="7"/>
    </row>
    <row r="2629" spans="1:23" x14ac:dyDescent="0.2">
      <c r="A2629" s="1" t="s">
        <v>2510</v>
      </c>
      <c r="B2629" s="1" t="s">
        <v>2638</v>
      </c>
      <c r="O2629" s="1" t="s">
        <v>1078</v>
      </c>
      <c r="P2629" s="1">
        <v>6.3</v>
      </c>
      <c r="Q2629" s="1">
        <v>6.1</v>
      </c>
      <c r="R2629" s="1">
        <v>5</v>
      </c>
      <c r="S2629" s="1">
        <v>5.2</v>
      </c>
      <c r="T2629" s="1">
        <v>5.3</v>
      </c>
      <c r="U2629" s="1">
        <v>5.0999999999999996</v>
      </c>
      <c r="V2629" s="1">
        <v>5.3</v>
      </c>
      <c r="W2629" s="7"/>
    </row>
    <row r="2630" spans="1:23" x14ac:dyDescent="0.2">
      <c r="A2630" s="1" t="s">
        <v>2510</v>
      </c>
      <c r="B2630" s="1" t="s">
        <v>2639</v>
      </c>
      <c r="O2630" s="1" t="s">
        <v>1078</v>
      </c>
      <c r="P2630" s="1">
        <v>11.1</v>
      </c>
      <c r="Q2630" s="1">
        <v>11.1</v>
      </c>
      <c r="R2630" s="1">
        <v>17.100000000000001</v>
      </c>
      <c r="S2630" s="1">
        <v>11.2</v>
      </c>
      <c r="T2630" s="1">
        <v>10.1</v>
      </c>
      <c r="U2630" s="1">
        <v>10.1</v>
      </c>
      <c r="V2630" s="1">
        <v>10.199999999999999</v>
      </c>
      <c r="W2630" s="7"/>
    </row>
    <row r="2631" spans="1:23" x14ac:dyDescent="0.2">
      <c r="A2631" s="1" t="s">
        <v>2510</v>
      </c>
      <c r="B2631" s="1" t="s">
        <v>2640</v>
      </c>
      <c r="O2631" s="1" t="s">
        <v>1078</v>
      </c>
      <c r="P2631" s="1">
        <v>8.3000000000000007</v>
      </c>
      <c r="Q2631" s="1">
        <v>5.0999999999999996</v>
      </c>
      <c r="R2631" s="1">
        <v>6.2</v>
      </c>
      <c r="S2631" s="1">
        <v>5.2</v>
      </c>
      <c r="W2631" s="7"/>
    </row>
    <row r="2632" spans="1:23" x14ac:dyDescent="0.2">
      <c r="A2632" s="1" t="s">
        <v>2510</v>
      </c>
      <c r="B2632" s="1" t="s">
        <v>2641</v>
      </c>
      <c r="O2632" s="1" t="s">
        <v>1078</v>
      </c>
      <c r="P2632" s="1">
        <v>9</v>
      </c>
      <c r="Q2632" s="1">
        <v>8.3000000000000007</v>
      </c>
      <c r="R2632" s="1">
        <v>8.1999999999999993</v>
      </c>
      <c r="S2632" s="1">
        <v>6.3</v>
      </c>
      <c r="T2632" s="1">
        <v>5.2</v>
      </c>
      <c r="U2632" s="1">
        <v>7.3</v>
      </c>
      <c r="V2632" s="1">
        <v>5.2</v>
      </c>
      <c r="W2632" s="7"/>
    </row>
    <row r="2633" spans="1:23" x14ac:dyDescent="0.2">
      <c r="A2633" s="1" t="s">
        <v>2510</v>
      </c>
      <c r="B2633" s="1" t="s">
        <v>2642</v>
      </c>
      <c r="O2633" s="1" t="s">
        <v>1078</v>
      </c>
      <c r="P2633" s="1">
        <v>4.2</v>
      </c>
      <c r="Q2633" s="1">
        <v>4.3</v>
      </c>
      <c r="R2633" s="1">
        <v>4.3</v>
      </c>
      <c r="S2633" s="1">
        <v>3.3</v>
      </c>
      <c r="T2633" s="1">
        <v>7</v>
      </c>
      <c r="U2633" s="1">
        <v>10</v>
      </c>
      <c r="V2633" s="1">
        <v>6</v>
      </c>
      <c r="W2633" s="7"/>
    </row>
    <row r="2634" spans="1:23" x14ac:dyDescent="0.2">
      <c r="A2634" s="1" t="s">
        <v>2510</v>
      </c>
      <c r="B2634" s="1" t="s">
        <v>2643</v>
      </c>
      <c r="T2634" s="1">
        <v>3.2</v>
      </c>
      <c r="U2634" s="1">
        <v>3.1</v>
      </c>
      <c r="V2634" s="1">
        <v>3.3</v>
      </c>
      <c r="W2634" s="7"/>
    </row>
    <row r="2635" spans="1:23" x14ac:dyDescent="0.2">
      <c r="A2635" s="1" t="s">
        <v>2510</v>
      </c>
      <c r="B2635" s="1" t="s">
        <v>2644</v>
      </c>
      <c r="T2635" s="1">
        <v>12.3</v>
      </c>
      <c r="U2635" s="1">
        <v>20.3</v>
      </c>
      <c r="V2635" s="1">
        <v>10.3</v>
      </c>
      <c r="W2635" s="7"/>
    </row>
    <row r="2636" spans="1:23" x14ac:dyDescent="0.2">
      <c r="A2636" s="1" t="s">
        <v>2510</v>
      </c>
      <c r="B2636" s="1" t="s">
        <v>2645</v>
      </c>
      <c r="O2636" s="1" t="s">
        <v>1078</v>
      </c>
      <c r="P2636" s="1">
        <v>14.3</v>
      </c>
      <c r="Q2636" s="1">
        <v>18.3</v>
      </c>
      <c r="R2636" s="1">
        <v>8</v>
      </c>
      <c r="S2636" s="1">
        <v>10.199999999999999</v>
      </c>
      <c r="T2636" s="1">
        <v>10.3</v>
      </c>
      <c r="W2636" s="7"/>
    </row>
    <row r="2637" spans="1:23" x14ac:dyDescent="0.2">
      <c r="A2637" s="1" t="s">
        <v>2510</v>
      </c>
      <c r="B2637" s="1" t="s">
        <v>2646</v>
      </c>
      <c r="S2637" s="1">
        <v>3.3</v>
      </c>
      <c r="T2637" s="1">
        <v>4</v>
      </c>
      <c r="U2637" s="1">
        <v>4.0999999999999996</v>
      </c>
      <c r="V2637" s="1">
        <v>7</v>
      </c>
      <c r="W2637" s="7"/>
    </row>
    <row r="2638" spans="1:23" x14ac:dyDescent="0.2">
      <c r="A2638" s="1" t="s">
        <v>2510</v>
      </c>
      <c r="B2638" s="1" t="s">
        <v>2647</v>
      </c>
      <c r="R2638" s="1">
        <v>42.3</v>
      </c>
      <c r="S2638" s="1">
        <v>25</v>
      </c>
      <c r="T2638" s="1">
        <v>26.3</v>
      </c>
      <c r="U2638" s="1">
        <v>25</v>
      </c>
      <c r="V2638" s="1">
        <v>36.299999999999997</v>
      </c>
      <c r="W2638" s="7"/>
    </row>
    <row r="2639" spans="1:23" x14ac:dyDescent="0.2">
      <c r="A2639" s="1" t="s">
        <v>2510</v>
      </c>
      <c r="B2639" s="1" t="s">
        <v>2648</v>
      </c>
      <c r="R2639" s="1">
        <v>4.3</v>
      </c>
      <c r="S2639" s="1">
        <v>6.3</v>
      </c>
      <c r="T2639" s="1">
        <v>6</v>
      </c>
      <c r="V2639" s="1">
        <v>9.3000000000000007</v>
      </c>
      <c r="W2639" s="7"/>
    </row>
    <row r="2640" spans="1:23" x14ac:dyDescent="0.2">
      <c r="A2640" s="1" t="s">
        <v>2510</v>
      </c>
      <c r="B2640" s="1" t="s">
        <v>2649</v>
      </c>
      <c r="R2640" s="1">
        <v>11.1</v>
      </c>
      <c r="S2640" s="1">
        <v>8.3000000000000007</v>
      </c>
      <c r="T2640" s="1">
        <v>9</v>
      </c>
      <c r="U2640" s="1">
        <v>10.1</v>
      </c>
      <c r="V2640" s="1">
        <v>11.3</v>
      </c>
      <c r="W2640" s="7"/>
    </row>
    <row r="2641" spans="1:27" x14ac:dyDescent="0.2">
      <c r="A2641" s="1" t="s">
        <v>2510</v>
      </c>
      <c r="B2641" s="1" t="s">
        <v>2650</v>
      </c>
      <c r="S2641" s="1">
        <v>13</v>
      </c>
      <c r="T2641" s="1">
        <v>14.2</v>
      </c>
      <c r="U2641" s="1">
        <v>13.3</v>
      </c>
      <c r="V2641" s="1">
        <v>13.3</v>
      </c>
      <c r="W2641" s="7"/>
    </row>
    <row r="2642" spans="1:27" x14ac:dyDescent="0.2">
      <c r="A2642" s="1" t="s">
        <v>2510</v>
      </c>
      <c r="B2642" s="1" t="s">
        <v>2651</v>
      </c>
      <c r="R2642" s="1">
        <v>4.2</v>
      </c>
      <c r="W2642" s="7"/>
    </row>
    <row r="2643" spans="1:27" x14ac:dyDescent="0.2">
      <c r="A2643" s="1" t="s">
        <v>2510</v>
      </c>
      <c r="B2643" s="1" t="s">
        <v>2652</v>
      </c>
      <c r="S2643" s="1">
        <v>9.1</v>
      </c>
      <c r="T2643" s="1">
        <v>12.1</v>
      </c>
      <c r="U2643" s="1">
        <v>5</v>
      </c>
      <c r="V2643" s="1">
        <v>21</v>
      </c>
      <c r="W2643" s="7"/>
    </row>
    <row r="2644" spans="1:27" x14ac:dyDescent="0.2">
      <c r="A2644" s="1" t="s">
        <v>2510</v>
      </c>
      <c r="B2644" s="1" t="s">
        <v>2653</v>
      </c>
      <c r="R2644" s="1">
        <v>15.1</v>
      </c>
      <c r="S2644" s="1">
        <v>19.3</v>
      </c>
      <c r="T2644" s="1">
        <v>16.2</v>
      </c>
      <c r="U2644" s="1">
        <v>15.1</v>
      </c>
      <c r="V2644" s="1">
        <v>20</v>
      </c>
      <c r="W2644" s="7"/>
    </row>
    <row r="2645" spans="1:27" x14ac:dyDescent="0.2">
      <c r="A2645" s="1" t="s">
        <v>2510</v>
      </c>
      <c r="B2645" s="1" t="s">
        <v>2654</v>
      </c>
      <c r="R2645" s="1">
        <v>3.3</v>
      </c>
      <c r="S2645" s="1">
        <v>3.3</v>
      </c>
      <c r="T2645" s="1">
        <v>3.1</v>
      </c>
      <c r="U2645" s="1">
        <v>3.3</v>
      </c>
      <c r="V2645" s="1">
        <v>4</v>
      </c>
      <c r="W2645" s="7"/>
    </row>
    <row r="2646" spans="1:27" x14ac:dyDescent="0.2">
      <c r="A2646" s="1" t="s">
        <v>2510</v>
      </c>
      <c r="B2646" s="1" t="s">
        <v>2655</v>
      </c>
      <c r="S2646" s="1">
        <v>7.1</v>
      </c>
      <c r="T2646" s="1">
        <v>5.3</v>
      </c>
      <c r="U2646" s="1">
        <v>3.2</v>
      </c>
      <c r="V2646" s="1">
        <v>3.3</v>
      </c>
      <c r="W2646" s="7"/>
    </row>
    <row r="2647" spans="1:27" x14ac:dyDescent="0.2">
      <c r="A2647" s="1" t="s">
        <v>2510</v>
      </c>
      <c r="B2647" s="1" t="s">
        <v>2656</v>
      </c>
      <c r="R2647" s="1">
        <v>12.2</v>
      </c>
      <c r="W2647" s="7"/>
    </row>
    <row r="2648" spans="1:27" x14ac:dyDescent="0.2">
      <c r="A2648" s="1" t="s">
        <v>2510</v>
      </c>
      <c r="B2648" s="1" t="s">
        <v>2657</v>
      </c>
      <c r="W2648" s="7"/>
    </row>
    <row r="2649" spans="1:27" x14ac:dyDescent="0.2">
      <c r="A2649" s="1" t="s">
        <v>2510</v>
      </c>
      <c r="B2649" s="1" t="s">
        <v>2658</v>
      </c>
      <c r="W2649" s="7"/>
    </row>
    <row r="2650" spans="1:27" x14ac:dyDescent="0.2">
      <c r="A2650" s="1" t="s">
        <v>2510</v>
      </c>
      <c r="B2650" s="1" t="s">
        <v>2659</v>
      </c>
      <c r="R2650" s="1">
        <v>1.3</v>
      </c>
      <c r="S2650" s="1">
        <v>1</v>
      </c>
      <c r="T2650" s="1">
        <v>12.2</v>
      </c>
      <c r="U2650" s="1">
        <v>2.2999999999999998</v>
      </c>
      <c r="V2650" s="1">
        <v>2.1</v>
      </c>
      <c r="W2650" s="7"/>
    </row>
    <row r="2651" spans="1:27" x14ac:dyDescent="0.2">
      <c r="A2651" s="1" t="s">
        <v>2510</v>
      </c>
      <c r="B2651" s="1" t="s">
        <v>2660</v>
      </c>
      <c r="S2651" s="1">
        <v>6.2</v>
      </c>
      <c r="T2651" s="1">
        <v>7.1</v>
      </c>
      <c r="U2651" s="1">
        <v>28</v>
      </c>
      <c r="V2651" s="1">
        <v>36</v>
      </c>
      <c r="W2651" s="7"/>
    </row>
    <row r="2652" spans="1:27" x14ac:dyDescent="0.2">
      <c r="A2652" s="1" t="s">
        <v>2510</v>
      </c>
      <c r="B2652" s="1" t="s">
        <v>2661</v>
      </c>
      <c r="T2652" s="1">
        <v>6.1</v>
      </c>
      <c r="U2652" s="1">
        <v>8</v>
      </c>
      <c r="V2652" s="1">
        <v>7.3</v>
      </c>
      <c r="W2652" s="7"/>
    </row>
    <row r="2653" spans="1:27" x14ac:dyDescent="0.2">
      <c r="A2653" s="1" t="s">
        <v>2510</v>
      </c>
      <c r="B2653" s="1" t="s">
        <v>2662</v>
      </c>
      <c r="O2653" s="1" t="s">
        <v>1078</v>
      </c>
      <c r="P2653" s="1">
        <v>10.1</v>
      </c>
      <c r="Q2653" s="1">
        <v>12.3</v>
      </c>
      <c r="R2653" s="1">
        <v>20</v>
      </c>
      <c r="S2653" s="1">
        <v>7</v>
      </c>
      <c r="T2653" s="1">
        <v>7.3</v>
      </c>
      <c r="U2653" s="1">
        <v>22.1</v>
      </c>
      <c r="V2653" s="1">
        <v>8.1</v>
      </c>
      <c r="W2653" s="7"/>
    </row>
    <row r="2654" spans="1:27" x14ac:dyDescent="0.2">
      <c r="A2654" s="1" t="s">
        <v>2510</v>
      </c>
      <c r="B2654" s="1" t="s">
        <v>2663</v>
      </c>
      <c r="O2654" s="1" t="s">
        <v>2664</v>
      </c>
      <c r="P2654" s="1" t="s">
        <v>2665</v>
      </c>
      <c r="Q2654" s="1" t="s">
        <v>2666</v>
      </c>
      <c r="R2654" s="1" t="s">
        <v>2666</v>
      </c>
      <c r="S2654" s="1" t="s">
        <v>2667</v>
      </c>
      <c r="T2654" s="1" t="s">
        <v>2668</v>
      </c>
      <c r="U2654" s="1" t="s">
        <v>2669</v>
      </c>
      <c r="V2654" s="1">
        <v>24</v>
      </c>
      <c r="W2654" s="8"/>
      <c r="X2654" s="8"/>
      <c r="Y2654" s="8"/>
      <c r="Z2654" s="8"/>
      <c r="AA2654" s="8"/>
    </row>
    <row r="2655" spans="1:27" x14ac:dyDescent="0.2">
      <c r="A2655" s="1" t="s">
        <v>2510</v>
      </c>
      <c r="B2655" s="1" t="s">
        <v>2670</v>
      </c>
      <c r="O2655" s="1" t="s">
        <v>2671</v>
      </c>
      <c r="P2655" s="1" t="s">
        <v>2672</v>
      </c>
      <c r="Q2655" s="1" t="s">
        <v>2673</v>
      </c>
      <c r="R2655" s="1" t="s">
        <v>2674</v>
      </c>
      <c r="S2655" s="1" t="s">
        <v>2675</v>
      </c>
      <c r="T2655" s="1" t="s">
        <v>2676</v>
      </c>
      <c r="U2655" s="1" t="s">
        <v>2677</v>
      </c>
      <c r="V2655" s="1">
        <v>25</v>
      </c>
      <c r="W2655" s="7"/>
    </row>
    <row r="2656" spans="1:27" x14ac:dyDescent="0.2">
      <c r="A2656" s="1" t="s">
        <v>2510</v>
      </c>
      <c r="B2656" s="1" t="s">
        <v>2678</v>
      </c>
      <c r="V2656" s="1">
        <v>33.1</v>
      </c>
      <c r="W2656" s="7"/>
    </row>
    <row r="2657" spans="1:31" x14ac:dyDescent="0.2">
      <c r="A2657" s="1" t="s">
        <v>2510</v>
      </c>
      <c r="B2657" s="1" t="s">
        <v>2679</v>
      </c>
      <c r="V2657" s="1">
        <v>47.2</v>
      </c>
      <c r="W2657" s="7"/>
    </row>
    <row r="2658" spans="1:31" x14ac:dyDescent="0.2">
      <c r="A2658" s="1" t="s">
        <v>2510</v>
      </c>
      <c r="B2658" s="1" t="s">
        <v>2680</v>
      </c>
      <c r="V2658" s="1">
        <v>3</v>
      </c>
      <c r="W2658" s="7"/>
    </row>
    <row r="2659" spans="1:31" x14ac:dyDescent="0.2">
      <c r="A2659" s="1" t="s">
        <v>2510</v>
      </c>
      <c r="B2659" s="1" t="s">
        <v>2681</v>
      </c>
      <c r="V2659" s="1">
        <v>31</v>
      </c>
      <c r="W2659" s="7"/>
    </row>
    <row r="2660" spans="1:31" x14ac:dyDescent="0.2">
      <c r="A2660" s="1" t="s">
        <v>2510</v>
      </c>
      <c r="B2660" s="1" t="s">
        <v>2682</v>
      </c>
      <c r="V2660" s="1">
        <v>1.2</v>
      </c>
      <c r="W2660" s="7"/>
    </row>
    <row r="2661" spans="1:31" x14ac:dyDescent="0.2">
      <c r="A2661" s="1" t="s">
        <v>2510</v>
      </c>
      <c r="B2661" s="1" t="s">
        <v>2683</v>
      </c>
      <c r="O2661" s="1">
        <v>7.3</v>
      </c>
      <c r="P2661" s="1">
        <v>9.3000000000000007</v>
      </c>
      <c r="Q2661" s="1">
        <v>11.1</v>
      </c>
      <c r="R2661" s="1">
        <v>12.2</v>
      </c>
      <c r="S2661" s="1">
        <v>11.1</v>
      </c>
      <c r="T2661" s="1">
        <v>10.1</v>
      </c>
      <c r="U2661" s="1">
        <v>8.3000000000000007</v>
      </c>
      <c r="V2661" s="1">
        <v>11.2</v>
      </c>
      <c r="W2661" s="7"/>
    </row>
    <row r="2662" spans="1:31" x14ac:dyDescent="0.2">
      <c r="A2662" s="1" t="s">
        <v>2510</v>
      </c>
      <c r="B2662" s="1" t="s">
        <v>2684</v>
      </c>
      <c r="O2662" s="1">
        <v>8.3000000000000007</v>
      </c>
      <c r="P2662" s="1">
        <v>9.1999999999999993</v>
      </c>
      <c r="Q2662" s="1">
        <v>11.2</v>
      </c>
      <c r="R2662" s="1">
        <v>12.3</v>
      </c>
      <c r="S2662" s="1">
        <v>11.3</v>
      </c>
      <c r="T2662" s="1">
        <v>13.2</v>
      </c>
      <c r="U2662" s="1">
        <v>12.2</v>
      </c>
      <c r="V2662" s="1">
        <v>13.2</v>
      </c>
      <c r="W2662" s="8"/>
      <c r="X2662" s="10"/>
      <c r="Y2662" s="10"/>
      <c r="Z2662" s="10"/>
      <c r="AA2662" s="10"/>
      <c r="AB2662" s="10"/>
      <c r="AC2662" s="10"/>
      <c r="AD2662" s="10"/>
      <c r="AE2662" s="10"/>
    </row>
    <row r="2663" spans="1:31" x14ac:dyDescent="0.2">
      <c r="A2663" s="1" t="s">
        <v>2510</v>
      </c>
      <c r="B2663" s="1" t="s">
        <v>2685</v>
      </c>
      <c r="V2663" s="1">
        <v>21.1</v>
      </c>
      <c r="W2663" s="8"/>
      <c r="X2663" s="10"/>
      <c r="Y2663" s="10"/>
      <c r="Z2663" s="10"/>
      <c r="AA2663" s="10"/>
      <c r="AB2663" s="10"/>
      <c r="AC2663" s="10"/>
      <c r="AD2663" s="10"/>
      <c r="AE2663" s="10"/>
    </row>
    <row r="2664" spans="1:31" x14ac:dyDescent="0.2">
      <c r="A2664" s="1" t="s">
        <v>2510</v>
      </c>
      <c r="B2664" s="1" t="s">
        <v>2686</v>
      </c>
      <c r="V2664" s="1">
        <v>9</v>
      </c>
      <c r="W2664" s="8"/>
      <c r="X2664" s="10"/>
      <c r="Y2664" s="10"/>
      <c r="Z2664" s="10"/>
      <c r="AA2664" s="10"/>
      <c r="AB2664" s="10"/>
      <c r="AC2664" s="10"/>
      <c r="AD2664" s="10"/>
      <c r="AE2664" s="10"/>
    </row>
    <row r="2665" spans="1:31" x14ac:dyDescent="0.2">
      <c r="A2665" s="1" t="s">
        <v>2510</v>
      </c>
      <c r="B2665" s="1" t="s">
        <v>2687</v>
      </c>
      <c r="V2665" s="1">
        <v>25.3</v>
      </c>
      <c r="W2665" s="8"/>
      <c r="X2665" s="10"/>
      <c r="Y2665" s="10"/>
      <c r="Z2665" s="10"/>
      <c r="AA2665" s="10"/>
      <c r="AB2665" s="10"/>
      <c r="AC2665" s="10"/>
      <c r="AD2665" s="10"/>
      <c r="AE2665" s="10"/>
    </row>
    <row r="2666" spans="1:31" x14ac:dyDescent="0.2">
      <c r="A2666" s="1" t="s">
        <v>2510</v>
      </c>
      <c r="B2666" s="1" t="s">
        <v>2688</v>
      </c>
      <c r="V2666" s="1">
        <v>20.2</v>
      </c>
      <c r="W2666" s="8"/>
      <c r="X2666" s="10"/>
      <c r="Y2666" s="10"/>
      <c r="Z2666" s="10"/>
      <c r="AA2666" s="10"/>
      <c r="AB2666" s="10"/>
      <c r="AC2666" s="10"/>
      <c r="AD2666" s="10"/>
      <c r="AE2666" s="10"/>
    </row>
    <row r="2667" spans="1:31" x14ac:dyDescent="0.2">
      <c r="A2667" s="1" t="s">
        <v>2510</v>
      </c>
      <c r="B2667" s="1" t="s">
        <v>2689</v>
      </c>
      <c r="V2667" s="1">
        <v>16.100000000000001</v>
      </c>
      <c r="W2667" s="8"/>
      <c r="X2667" s="10"/>
      <c r="Y2667" s="10"/>
      <c r="Z2667" s="10"/>
      <c r="AA2667" s="10"/>
      <c r="AB2667" s="10"/>
      <c r="AC2667" s="10"/>
      <c r="AD2667" s="10"/>
      <c r="AE2667" s="10"/>
    </row>
    <row r="2668" spans="1:31" x14ac:dyDescent="0.2">
      <c r="A2668" s="1" t="s">
        <v>2510</v>
      </c>
      <c r="B2668" s="1" t="s">
        <v>2690</v>
      </c>
      <c r="V2668" s="1">
        <v>5.4</v>
      </c>
      <c r="W2668" s="8"/>
      <c r="X2668" s="10"/>
      <c r="Y2668" s="10"/>
      <c r="Z2668" s="10"/>
      <c r="AA2668" s="10"/>
      <c r="AB2668" s="10"/>
      <c r="AC2668" s="10"/>
      <c r="AD2668" s="10"/>
      <c r="AE2668" s="10"/>
    </row>
    <row r="2669" spans="1:31" x14ac:dyDescent="0.2">
      <c r="A2669" s="1" t="s">
        <v>2510</v>
      </c>
      <c r="B2669" s="1" t="s">
        <v>2691</v>
      </c>
      <c r="V2669" s="1">
        <v>29.2</v>
      </c>
      <c r="W2669" s="7"/>
    </row>
    <row r="2670" spans="1:31" x14ac:dyDescent="0.2">
      <c r="A2670" s="1" t="s">
        <v>2510</v>
      </c>
      <c r="B2670" s="1" t="s">
        <v>2679</v>
      </c>
      <c r="V2670" s="1">
        <v>5.0999999999999996</v>
      </c>
      <c r="W2670" s="7"/>
    </row>
    <row r="2671" spans="1:31" x14ac:dyDescent="0.2">
      <c r="A2671" s="1" t="s">
        <v>2510</v>
      </c>
      <c r="B2671" s="1" t="s">
        <v>2680</v>
      </c>
      <c r="V2671" s="1">
        <v>7.1</v>
      </c>
      <c r="W2671" s="7"/>
    </row>
    <row r="2672" spans="1:31" x14ac:dyDescent="0.2">
      <c r="A2672" s="1" t="s">
        <v>2510</v>
      </c>
      <c r="B2672" s="1" t="s">
        <v>2682</v>
      </c>
      <c r="V2672" s="1">
        <v>14.1</v>
      </c>
      <c r="W2672" s="7"/>
    </row>
    <row r="2673" spans="1:23" x14ac:dyDescent="0.2">
      <c r="A2673" s="1" t="s">
        <v>2510</v>
      </c>
      <c r="B2673" s="1" t="s">
        <v>2692</v>
      </c>
      <c r="S2673" s="1" t="s">
        <v>1078</v>
      </c>
      <c r="T2673" s="1" t="s">
        <v>1078</v>
      </c>
      <c r="U2673" s="1">
        <v>16</v>
      </c>
      <c r="V2673" s="1">
        <v>16.2</v>
      </c>
      <c r="W2673" s="7"/>
    </row>
    <row r="2674" spans="1:23" x14ac:dyDescent="0.2">
      <c r="A2674" s="1" t="s">
        <v>2510</v>
      </c>
      <c r="B2674" s="1" t="s">
        <v>2693</v>
      </c>
      <c r="V2674" s="1">
        <v>11</v>
      </c>
      <c r="W2674" s="7"/>
    </row>
    <row r="2675" spans="1:23" x14ac:dyDescent="0.2">
      <c r="A2675" s="1" t="s">
        <v>2510</v>
      </c>
      <c r="B2675" s="1" t="s">
        <v>2694</v>
      </c>
      <c r="V2675" s="1">
        <v>5.0999999999999996</v>
      </c>
      <c r="W2675" s="7"/>
    </row>
    <row r="2676" spans="1:23" x14ac:dyDescent="0.2">
      <c r="A2676" s="1" t="s">
        <v>2510</v>
      </c>
      <c r="B2676" s="1" t="s">
        <v>2695</v>
      </c>
      <c r="V2676" s="1">
        <v>5.0999999999999996</v>
      </c>
      <c r="W2676" s="7"/>
    </row>
    <row r="2677" spans="1:23" x14ac:dyDescent="0.2">
      <c r="A2677" s="1" t="s">
        <v>2510</v>
      </c>
      <c r="B2677" s="1" t="s">
        <v>2696</v>
      </c>
      <c r="V2677" s="1">
        <v>8.1</v>
      </c>
      <c r="W2677" s="7"/>
    </row>
    <row r="2678" spans="1:23" x14ac:dyDescent="0.2">
      <c r="A2678" s="1" t="s">
        <v>2510</v>
      </c>
      <c r="B2678" s="1" t="s">
        <v>2697</v>
      </c>
      <c r="V2678" s="1">
        <v>20</v>
      </c>
      <c r="W2678" s="7"/>
    </row>
    <row r="2679" spans="1:23" x14ac:dyDescent="0.2">
      <c r="A2679" s="1" t="s">
        <v>2510</v>
      </c>
      <c r="B2679" s="1" t="s">
        <v>2698</v>
      </c>
      <c r="V2679" s="1">
        <v>11.2</v>
      </c>
      <c r="W2679" s="7"/>
    </row>
    <row r="2680" spans="1:23" x14ac:dyDescent="0.2">
      <c r="A2680" s="1" t="s">
        <v>2510</v>
      </c>
      <c r="B2680" s="1" t="s">
        <v>2699</v>
      </c>
      <c r="V2680" s="1">
        <v>10</v>
      </c>
      <c r="W2680" s="7"/>
    </row>
    <row r="2681" spans="1:23" x14ac:dyDescent="0.2">
      <c r="A2681" s="1" t="s">
        <v>2510</v>
      </c>
      <c r="B2681" s="1" t="s">
        <v>2700</v>
      </c>
      <c r="V2681" s="1">
        <v>31</v>
      </c>
      <c r="W2681" s="7"/>
    </row>
    <row r="2682" spans="1:23" x14ac:dyDescent="0.2">
      <c r="A2682" s="1" t="s">
        <v>2510</v>
      </c>
      <c r="B2682" s="1" t="s">
        <v>2701</v>
      </c>
      <c r="V2682" s="1">
        <v>29.2</v>
      </c>
      <c r="W2682" s="7"/>
    </row>
    <row r="2683" spans="1:23" x14ac:dyDescent="0.2">
      <c r="A2683" s="1" t="s">
        <v>2510</v>
      </c>
      <c r="B2683" s="1" t="s">
        <v>2702</v>
      </c>
      <c r="V2683" s="1">
        <v>14.2</v>
      </c>
      <c r="W2683" s="7"/>
    </row>
    <row r="2684" spans="1:23" x14ac:dyDescent="0.2">
      <c r="A2684" s="1" t="s">
        <v>2510</v>
      </c>
      <c r="B2684" s="1" t="s">
        <v>2703</v>
      </c>
      <c r="V2684" s="1">
        <v>9.3000000000000007</v>
      </c>
      <c r="W2684" s="7"/>
    </row>
    <row r="2685" spans="1:23" x14ac:dyDescent="0.2">
      <c r="A2685" s="1" t="s">
        <v>2510</v>
      </c>
      <c r="B2685" s="1" t="s">
        <v>2704</v>
      </c>
      <c r="V2685" s="1">
        <v>7.2</v>
      </c>
      <c r="W2685" s="7"/>
    </row>
    <row r="2686" spans="1:23" x14ac:dyDescent="0.2">
      <c r="A2686" s="1" t="s">
        <v>2510</v>
      </c>
      <c r="B2686" s="1" t="s">
        <v>2705</v>
      </c>
      <c r="V2686" s="1">
        <v>8.3000000000000007</v>
      </c>
      <c r="W2686" s="7"/>
    </row>
    <row r="2687" spans="1:23" x14ac:dyDescent="0.2">
      <c r="A2687" s="1" t="s">
        <v>2510</v>
      </c>
      <c r="B2687" s="1" t="s">
        <v>2706</v>
      </c>
      <c r="V2687" s="1">
        <v>12.1</v>
      </c>
      <c r="W2687" s="7"/>
    </row>
    <row r="2688" spans="1:23" x14ac:dyDescent="0.2">
      <c r="A2688" s="1" t="s">
        <v>2510</v>
      </c>
      <c r="B2688" s="1" t="s">
        <v>2707</v>
      </c>
      <c r="V2688" s="1">
        <v>20</v>
      </c>
      <c r="W2688" s="7"/>
    </row>
    <row r="2689" spans="1:23" x14ac:dyDescent="0.2">
      <c r="A2689" s="1" t="s">
        <v>2510</v>
      </c>
      <c r="B2689" s="1" t="s">
        <v>2708</v>
      </c>
      <c r="V2689" s="1">
        <v>10.1</v>
      </c>
      <c r="W2689" s="7"/>
    </row>
    <row r="2690" spans="1:23" x14ac:dyDescent="0.2">
      <c r="A2690" s="1" t="s">
        <v>2510</v>
      </c>
      <c r="B2690" s="1" t="s">
        <v>2709</v>
      </c>
      <c r="V2690" s="1">
        <v>44.2</v>
      </c>
      <c r="W2690" s="7"/>
    </row>
    <row r="2691" spans="1:23" x14ac:dyDescent="0.2">
      <c r="A2691" s="1" t="s">
        <v>2510</v>
      </c>
      <c r="B2691" s="1" t="s">
        <v>2710</v>
      </c>
      <c r="V2691" s="1">
        <v>30.2</v>
      </c>
      <c r="W2691" s="7"/>
    </row>
    <row r="2692" spans="1:23" x14ac:dyDescent="0.2">
      <c r="A2692" s="1" t="s">
        <v>2510</v>
      </c>
      <c r="B2692" s="1" t="s">
        <v>2711</v>
      </c>
      <c r="V2692" s="1">
        <v>6.1</v>
      </c>
      <c r="W2692" s="7"/>
    </row>
    <row r="2693" spans="1:23" x14ac:dyDescent="0.2">
      <c r="A2693" s="1" t="s">
        <v>2510</v>
      </c>
      <c r="B2693" s="1" t="s">
        <v>2712</v>
      </c>
      <c r="T2693" s="1" t="s">
        <v>1078</v>
      </c>
      <c r="U2693" s="1">
        <v>17.2</v>
      </c>
      <c r="V2693" s="1">
        <v>19</v>
      </c>
      <c r="W2693" s="7"/>
    </row>
    <row r="2694" spans="1:23" x14ac:dyDescent="0.2">
      <c r="A2694" s="1" t="s">
        <v>2510</v>
      </c>
      <c r="B2694" s="1" t="s">
        <v>2713</v>
      </c>
      <c r="V2694" s="1">
        <v>35.200000000000003</v>
      </c>
      <c r="W2694" s="7"/>
    </row>
    <row r="2695" spans="1:23" x14ac:dyDescent="0.2">
      <c r="A2695" s="1" t="s">
        <v>2510</v>
      </c>
      <c r="B2695" s="1" t="s">
        <v>2714</v>
      </c>
      <c r="V2695" s="1">
        <v>16.100000000000001</v>
      </c>
      <c r="W2695" s="7"/>
    </row>
    <row r="2696" spans="1:23" x14ac:dyDescent="0.2">
      <c r="A2696" s="1" t="s">
        <v>2510</v>
      </c>
      <c r="B2696" s="1" t="s">
        <v>2715</v>
      </c>
      <c r="V2696" s="1">
        <v>23.2</v>
      </c>
      <c r="W2696" s="7"/>
    </row>
    <row r="2697" spans="1:23" x14ac:dyDescent="0.2">
      <c r="A2697" s="1" t="s">
        <v>2510</v>
      </c>
      <c r="B2697" s="1" t="s">
        <v>2716</v>
      </c>
      <c r="V2697" s="1">
        <v>14.1</v>
      </c>
      <c r="W2697" s="7"/>
    </row>
    <row r="2698" spans="1:23" x14ac:dyDescent="0.2">
      <c r="A2698" s="1" t="s">
        <v>2510</v>
      </c>
      <c r="B2698" s="1" t="s">
        <v>2717</v>
      </c>
      <c r="V2698" s="1">
        <v>9.1999999999999993</v>
      </c>
      <c r="W2698" s="7"/>
    </row>
    <row r="2699" spans="1:23" x14ac:dyDescent="0.2">
      <c r="A2699" s="1" t="s">
        <v>2510</v>
      </c>
      <c r="B2699" s="1" t="s">
        <v>2718</v>
      </c>
      <c r="V2699" s="1">
        <v>2.2000000000000002</v>
      </c>
      <c r="W2699" s="7"/>
    </row>
    <row r="2700" spans="1:23" x14ac:dyDescent="0.2">
      <c r="A2700" s="1" t="s">
        <v>2510</v>
      </c>
      <c r="B2700" s="1" t="s">
        <v>2719</v>
      </c>
      <c r="V2700" s="1">
        <v>40.200000000000003</v>
      </c>
      <c r="W2700" s="7"/>
    </row>
    <row r="2701" spans="1:23" x14ac:dyDescent="0.2">
      <c r="A2701" s="1" t="s">
        <v>2510</v>
      </c>
      <c r="B2701" s="1" t="s">
        <v>2720</v>
      </c>
      <c r="V2701" s="1">
        <v>16</v>
      </c>
      <c r="W2701" s="7"/>
    </row>
    <row r="2702" spans="1:23" x14ac:dyDescent="0.2">
      <c r="A2702" s="1" t="s">
        <v>2510</v>
      </c>
      <c r="B2702" s="1" t="s">
        <v>2721</v>
      </c>
      <c r="C2702" s="1">
        <v>30.3</v>
      </c>
      <c r="D2702" s="1">
        <v>18.100000000000001</v>
      </c>
      <c r="E2702" s="1">
        <v>21.2</v>
      </c>
      <c r="F2702" s="1">
        <v>25.3</v>
      </c>
      <c r="G2702" s="1">
        <v>22.3</v>
      </c>
      <c r="H2702" s="1">
        <v>22.3</v>
      </c>
      <c r="I2702" s="1">
        <v>25.1</v>
      </c>
      <c r="J2702" s="1">
        <v>23.3</v>
      </c>
      <c r="K2702" s="1">
        <v>22.2</v>
      </c>
      <c r="L2702" s="1">
        <v>24</v>
      </c>
      <c r="M2702" s="1">
        <v>23.3</v>
      </c>
      <c r="N2702" s="1">
        <v>21</v>
      </c>
      <c r="O2702" s="1">
        <v>21</v>
      </c>
      <c r="P2702" s="1">
        <v>24.2</v>
      </c>
      <c r="Q2702" s="1">
        <v>23.2</v>
      </c>
      <c r="R2702" s="1">
        <v>22.2</v>
      </c>
      <c r="S2702" s="1" t="s">
        <v>2722</v>
      </c>
      <c r="T2702" s="1" t="s">
        <v>2723</v>
      </c>
      <c r="U2702" s="1" t="s">
        <v>2724</v>
      </c>
      <c r="W2702" s="7"/>
    </row>
    <row r="2703" spans="1:23" x14ac:dyDescent="0.2">
      <c r="A2703" s="1" t="s">
        <v>2510</v>
      </c>
      <c r="B2703" s="1" t="s">
        <v>2725</v>
      </c>
      <c r="K2703" s="1">
        <v>8.1</v>
      </c>
      <c r="L2703" s="1">
        <v>7.3</v>
      </c>
      <c r="M2703" s="1">
        <v>8.3000000000000007</v>
      </c>
      <c r="N2703" s="1">
        <v>9.3000000000000007</v>
      </c>
      <c r="O2703" s="1">
        <v>9.3000000000000007</v>
      </c>
      <c r="P2703" s="1">
        <v>9.3000000000000007</v>
      </c>
      <c r="Q2703" s="1">
        <v>8.1999999999999993</v>
      </c>
      <c r="R2703" s="1">
        <v>8.1999999999999993</v>
      </c>
      <c r="S2703" s="1" t="s">
        <v>2726</v>
      </c>
      <c r="T2703" s="1" t="s">
        <v>2727</v>
      </c>
      <c r="U2703" s="1" t="s">
        <v>2724</v>
      </c>
      <c r="W2703" s="7"/>
    </row>
    <row r="2704" spans="1:23" x14ac:dyDescent="0.2">
      <c r="A2704" s="1" t="s">
        <v>2510</v>
      </c>
      <c r="B2704" s="1" t="s">
        <v>2728</v>
      </c>
      <c r="S2704" s="1" t="s">
        <v>1078</v>
      </c>
      <c r="T2704" s="1" t="s">
        <v>1078</v>
      </c>
      <c r="U2704" s="1">
        <v>7.2</v>
      </c>
      <c r="V2704" s="1">
        <v>8.1999999999999993</v>
      </c>
      <c r="W2704" s="7"/>
    </row>
    <row r="2705" spans="1:23" x14ac:dyDescent="0.2">
      <c r="A2705" s="1" t="s">
        <v>2510</v>
      </c>
      <c r="B2705" s="1" t="s">
        <v>2729</v>
      </c>
      <c r="O2705" s="1">
        <v>5.0999999999999996</v>
      </c>
      <c r="P2705" s="1">
        <v>6.3</v>
      </c>
      <c r="Q2705" s="1">
        <v>5.0999999999999996</v>
      </c>
      <c r="R2705" s="1">
        <v>5.3</v>
      </c>
      <c r="S2705" s="1">
        <v>5.3</v>
      </c>
      <c r="T2705" s="1">
        <v>6.1</v>
      </c>
      <c r="U2705" s="1">
        <v>6.2</v>
      </c>
      <c r="V2705" s="1">
        <v>6.2</v>
      </c>
      <c r="W2705" s="7"/>
    </row>
    <row r="2706" spans="1:23" x14ac:dyDescent="0.2">
      <c r="A2706" s="1" t="s">
        <v>2510</v>
      </c>
      <c r="B2706" s="1" t="s">
        <v>2730</v>
      </c>
      <c r="U2706" s="1">
        <v>14.2</v>
      </c>
      <c r="V2706" s="1">
        <v>2.2999999999999998</v>
      </c>
      <c r="W2706" s="7"/>
    </row>
    <row r="2707" spans="1:23" x14ac:dyDescent="0.2">
      <c r="A2707" s="1" t="s">
        <v>2510</v>
      </c>
      <c r="B2707" s="1" t="s">
        <v>2731</v>
      </c>
      <c r="U2707" s="1">
        <v>3</v>
      </c>
      <c r="V2707" s="1">
        <v>6</v>
      </c>
      <c r="W2707" s="7"/>
    </row>
    <row r="2708" spans="1:23" x14ac:dyDescent="0.2">
      <c r="A2708" s="1" t="s">
        <v>2510</v>
      </c>
      <c r="B2708" s="1" t="s">
        <v>2732</v>
      </c>
      <c r="V2708" s="1">
        <v>4.3</v>
      </c>
      <c r="W2708" s="7"/>
    </row>
    <row r="2709" spans="1:23" x14ac:dyDescent="0.2">
      <c r="A2709" s="1" t="s">
        <v>2510</v>
      </c>
      <c r="B2709" s="1" t="s">
        <v>2733</v>
      </c>
      <c r="U2709" s="1">
        <v>5.2</v>
      </c>
      <c r="V2709" s="1">
        <v>6.1</v>
      </c>
      <c r="W2709" s="7"/>
    </row>
    <row r="2710" spans="1:23" x14ac:dyDescent="0.2">
      <c r="A2710" s="1" t="s">
        <v>2510</v>
      </c>
      <c r="B2710" s="1" t="s">
        <v>2734</v>
      </c>
      <c r="U2710" s="1">
        <v>1.3</v>
      </c>
      <c r="V2710" s="1">
        <v>1.3</v>
      </c>
      <c r="W2710" s="7"/>
    </row>
    <row r="2711" spans="1:23" x14ac:dyDescent="0.2">
      <c r="A2711" s="1" t="s">
        <v>2510</v>
      </c>
      <c r="B2711" s="1" t="s">
        <v>2735</v>
      </c>
      <c r="U2711" s="1">
        <v>3.3</v>
      </c>
      <c r="V2711" s="1">
        <v>4</v>
      </c>
      <c r="W2711" s="7"/>
    </row>
    <row r="2712" spans="1:23" x14ac:dyDescent="0.2">
      <c r="A2712" s="1" t="s">
        <v>2510</v>
      </c>
      <c r="B2712" s="1" t="s">
        <v>2736</v>
      </c>
      <c r="U2712" s="1">
        <v>14.2</v>
      </c>
      <c r="V2712" s="1">
        <v>15</v>
      </c>
      <c r="W2712" s="7"/>
    </row>
    <row r="2713" spans="1:23" x14ac:dyDescent="0.2">
      <c r="A2713" s="1" t="s">
        <v>2510</v>
      </c>
      <c r="B2713" s="1" t="s">
        <v>2737</v>
      </c>
      <c r="V2713" s="1">
        <v>6.1</v>
      </c>
      <c r="W2713" s="7"/>
    </row>
    <row r="2714" spans="1:23" x14ac:dyDescent="0.2">
      <c r="A2714" s="1" t="s">
        <v>2510</v>
      </c>
      <c r="B2714" s="1" t="s">
        <v>2738</v>
      </c>
      <c r="U2714" s="1">
        <v>3</v>
      </c>
      <c r="V2714" s="1">
        <v>3</v>
      </c>
      <c r="W2714" s="7"/>
    </row>
    <row r="2715" spans="1:23" x14ac:dyDescent="0.2">
      <c r="A2715" s="1" t="s">
        <v>2510</v>
      </c>
      <c r="B2715" s="1" t="s">
        <v>2739</v>
      </c>
      <c r="V2715" s="1">
        <v>14.3</v>
      </c>
      <c r="W2715" s="7"/>
    </row>
    <row r="2716" spans="1:23" x14ac:dyDescent="0.2">
      <c r="A2716" s="1" t="s">
        <v>2510</v>
      </c>
      <c r="B2716" s="1" t="s">
        <v>2740</v>
      </c>
      <c r="S2716" s="1" t="s">
        <v>1078</v>
      </c>
      <c r="T2716" s="1" t="s">
        <v>1078</v>
      </c>
      <c r="U2716" s="1" t="s">
        <v>2741</v>
      </c>
      <c r="V2716" s="1">
        <v>4.0999999999999996</v>
      </c>
      <c r="W2716" s="7"/>
    </row>
    <row r="2717" spans="1:23" x14ac:dyDescent="0.2">
      <c r="A2717" s="1" t="s">
        <v>2510</v>
      </c>
      <c r="B2717" s="1" t="s">
        <v>2742</v>
      </c>
      <c r="O2717" s="1">
        <v>4.3</v>
      </c>
      <c r="P2717" s="1">
        <v>4.3</v>
      </c>
      <c r="Q2717" s="1">
        <v>5.0999999999999996</v>
      </c>
      <c r="R2717" s="1">
        <v>5</v>
      </c>
      <c r="S2717" s="1">
        <v>5</v>
      </c>
      <c r="T2717" s="1">
        <v>5.0999999999999996</v>
      </c>
      <c r="U2717" s="1">
        <v>5.3</v>
      </c>
      <c r="V2717" s="1">
        <v>7.3</v>
      </c>
      <c r="W2717" s="7"/>
    </row>
    <row r="2718" spans="1:23" x14ac:dyDescent="0.2">
      <c r="A2718" s="1" t="s">
        <v>2510</v>
      </c>
      <c r="B2718" s="1" t="s">
        <v>2743</v>
      </c>
      <c r="U2718" s="1">
        <v>1.2</v>
      </c>
      <c r="V2718" s="1">
        <v>6.1</v>
      </c>
      <c r="W2718" s="7"/>
    </row>
    <row r="2719" spans="1:23" x14ac:dyDescent="0.2">
      <c r="A2719" s="1" t="s">
        <v>2510</v>
      </c>
      <c r="B2719" s="1" t="s">
        <v>2744</v>
      </c>
      <c r="U2719" s="1">
        <v>3.2</v>
      </c>
      <c r="V2719" s="1">
        <v>4</v>
      </c>
      <c r="W2719" s="7"/>
    </row>
    <row r="2720" spans="1:23" x14ac:dyDescent="0.2">
      <c r="A2720" s="1" t="s">
        <v>2510</v>
      </c>
      <c r="B2720" s="1" t="s">
        <v>2745</v>
      </c>
      <c r="V2720" s="1">
        <v>0.3</v>
      </c>
      <c r="W2720" s="7"/>
    </row>
    <row r="2721" spans="1:23" x14ac:dyDescent="0.2">
      <c r="A2721" s="1" t="s">
        <v>2510</v>
      </c>
      <c r="B2721" s="1" t="s">
        <v>2746</v>
      </c>
      <c r="U2721" s="1">
        <v>2.2000000000000002</v>
      </c>
      <c r="V2721" s="1">
        <v>2.2000000000000002</v>
      </c>
      <c r="W2721" s="7"/>
    </row>
    <row r="2722" spans="1:23" x14ac:dyDescent="0.2">
      <c r="A2722" s="1" t="s">
        <v>2510</v>
      </c>
      <c r="B2722" s="1" t="s">
        <v>2747</v>
      </c>
      <c r="U2722" s="1">
        <v>9.1999999999999993</v>
      </c>
      <c r="V2722" s="1">
        <v>6</v>
      </c>
      <c r="W2722" s="7"/>
    </row>
    <row r="2723" spans="1:23" x14ac:dyDescent="0.2">
      <c r="A2723" s="1" t="s">
        <v>2510</v>
      </c>
      <c r="B2723" s="1" t="s">
        <v>2748</v>
      </c>
      <c r="V2723" s="1">
        <v>1.3</v>
      </c>
      <c r="W2723" s="7"/>
    </row>
    <row r="2724" spans="1:23" x14ac:dyDescent="0.2">
      <c r="A2724" s="1" t="s">
        <v>2510</v>
      </c>
      <c r="B2724" s="1" t="s">
        <v>2749</v>
      </c>
      <c r="U2724" s="1">
        <v>10.1</v>
      </c>
      <c r="V2724" s="1">
        <v>11</v>
      </c>
      <c r="W2724" s="7"/>
    </row>
    <row r="2725" spans="1:23" x14ac:dyDescent="0.2">
      <c r="A2725" s="1" t="s">
        <v>2510</v>
      </c>
      <c r="B2725" s="1" t="s">
        <v>2750</v>
      </c>
      <c r="U2725" s="1">
        <v>4.0999999999999996</v>
      </c>
      <c r="V2725" s="1">
        <v>3.2</v>
      </c>
      <c r="W2725" s="7"/>
    </row>
    <row r="2726" spans="1:23" x14ac:dyDescent="0.2">
      <c r="A2726" s="1" t="s">
        <v>2510</v>
      </c>
      <c r="B2726" s="1" t="s">
        <v>2751</v>
      </c>
      <c r="V2726" s="1" t="s">
        <v>2752</v>
      </c>
      <c r="W2726" s="7"/>
    </row>
    <row r="2727" spans="1:23" x14ac:dyDescent="0.2">
      <c r="A2727" s="1" t="s">
        <v>2510</v>
      </c>
      <c r="B2727" s="1" t="s">
        <v>2753</v>
      </c>
      <c r="V2727" s="1">
        <v>3.2</v>
      </c>
      <c r="W2727" s="7"/>
    </row>
    <row r="2728" spans="1:23" x14ac:dyDescent="0.2">
      <c r="A2728" s="1" t="s">
        <v>2510</v>
      </c>
      <c r="B2728" s="1" t="s">
        <v>2754</v>
      </c>
      <c r="U2728" s="1">
        <v>6.3</v>
      </c>
      <c r="V2728" s="1">
        <v>9.1</v>
      </c>
      <c r="W2728" s="7"/>
    </row>
    <row r="2729" spans="1:23" x14ac:dyDescent="0.2">
      <c r="A2729" s="1" t="s">
        <v>2510</v>
      </c>
      <c r="B2729" s="1" t="s">
        <v>2755</v>
      </c>
      <c r="U2729" s="1" t="s">
        <v>1078</v>
      </c>
      <c r="V2729" s="1">
        <v>50.1</v>
      </c>
      <c r="W2729" s="7"/>
    </row>
    <row r="2730" spans="1:23" x14ac:dyDescent="0.2">
      <c r="A2730" s="1" t="s">
        <v>2510</v>
      </c>
      <c r="B2730" s="1" t="s">
        <v>2756</v>
      </c>
      <c r="U2730" s="1" t="s">
        <v>1078</v>
      </c>
      <c r="V2730" s="1">
        <v>28</v>
      </c>
      <c r="W2730" s="7"/>
    </row>
    <row r="2731" spans="1:23" x14ac:dyDescent="0.2">
      <c r="A2731" s="1" t="s">
        <v>2510</v>
      </c>
      <c r="B2731" s="1" t="s">
        <v>2757</v>
      </c>
      <c r="U2731" s="1" t="s">
        <v>1078</v>
      </c>
      <c r="V2731" s="1">
        <v>63.3</v>
      </c>
      <c r="W2731" s="7"/>
    </row>
    <row r="2732" spans="1:23" x14ac:dyDescent="0.2">
      <c r="A2732" s="1" t="s">
        <v>2510</v>
      </c>
      <c r="B2732" s="1" t="s">
        <v>2758</v>
      </c>
      <c r="U2732" s="1" t="s">
        <v>1078</v>
      </c>
      <c r="V2732" s="1">
        <v>60.2</v>
      </c>
      <c r="W2732" s="7"/>
    </row>
    <row r="2733" spans="1:23" x14ac:dyDescent="0.2">
      <c r="A2733" s="1" t="s">
        <v>2510</v>
      </c>
      <c r="B2733" s="1" t="s">
        <v>2759</v>
      </c>
      <c r="U2733" s="1" t="s">
        <v>1078</v>
      </c>
      <c r="V2733" s="1">
        <v>32.200000000000003</v>
      </c>
      <c r="W2733" s="7"/>
    </row>
    <row r="2734" spans="1:23" x14ac:dyDescent="0.2">
      <c r="A2734" s="1" t="s">
        <v>2510</v>
      </c>
      <c r="B2734" s="1" t="s">
        <v>2760</v>
      </c>
      <c r="U2734" s="1" t="s">
        <v>1078</v>
      </c>
      <c r="V2734" s="1">
        <v>96.2</v>
      </c>
      <c r="W2734" s="7"/>
    </row>
    <row r="2735" spans="1:23" x14ac:dyDescent="0.2">
      <c r="A2735" s="1" t="s">
        <v>2510</v>
      </c>
      <c r="B2735" s="1" t="s">
        <v>2761</v>
      </c>
      <c r="U2735" s="1" t="s">
        <v>1078</v>
      </c>
      <c r="V2735" s="1">
        <v>9</v>
      </c>
      <c r="W2735" s="7"/>
    </row>
    <row r="2736" spans="1:23" x14ac:dyDescent="0.2">
      <c r="A2736" s="1" t="s">
        <v>2510</v>
      </c>
      <c r="B2736" s="1" t="s">
        <v>2762</v>
      </c>
      <c r="U2736" s="1" t="s">
        <v>1078</v>
      </c>
      <c r="V2736" s="1">
        <v>99.3</v>
      </c>
      <c r="W2736" s="7"/>
    </row>
    <row r="2737" spans="1:23" x14ac:dyDescent="0.2">
      <c r="A2737" s="1" t="s">
        <v>2510</v>
      </c>
      <c r="B2737" s="1" t="s">
        <v>2763</v>
      </c>
      <c r="U2737" s="1" t="s">
        <v>1078</v>
      </c>
      <c r="V2737" s="1">
        <v>32.299999999999997</v>
      </c>
      <c r="W2737" s="7"/>
    </row>
    <row r="2738" spans="1:23" x14ac:dyDescent="0.2">
      <c r="A2738" s="1" t="s">
        <v>2510</v>
      </c>
      <c r="B2738" s="1" t="s">
        <v>2764</v>
      </c>
      <c r="U2738" s="1" t="s">
        <v>1078</v>
      </c>
      <c r="V2738" s="1">
        <v>49</v>
      </c>
      <c r="W2738" s="7"/>
    </row>
    <row r="2739" spans="1:23" x14ac:dyDescent="0.2">
      <c r="A2739" s="1" t="s">
        <v>2510</v>
      </c>
      <c r="B2739" s="1" t="s">
        <v>2765</v>
      </c>
      <c r="U2739" s="1" t="s">
        <v>1078</v>
      </c>
      <c r="V2739" s="1">
        <v>103</v>
      </c>
      <c r="W2739" s="7"/>
    </row>
    <row r="2740" spans="1:23" x14ac:dyDescent="0.2">
      <c r="A2740" s="1" t="s">
        <v>2510</v>
      </c>
      <c r="B2740" s="1" t="s">
        <v>2766</v>
      </c>
      <c r="U2740" s="1" t="s">
        <v>1078</v>
      </c>
      <c r="V2740" s="1">
        <v>13.3</v>
      </c>
      <c r="W2740" s="7"/>
    </row>
    <row r="2741" spans="1:23" x14ac:dyDescent="0.2">
      <c r="A2741" s="1" t="s">
        <v>2510</v>
      </c>
      <c r="B2741" s="1" t="s">
        <v>2767</v>
      </c>
      <c r="U2741" s="1" t="s">
        <v>1078</v>
      </c>
      <c r="V2741" s="1">
        <v>46.3</v>
      </c>
      <c r="W2741" s="7"/>
    </row>
    <row r="2742" spans="1:23" x14ac:dyDescent="0.2">
      <c r="A2742" s="1" t="s">
        <v>2510</v>
      </c>
      <c r="B2742" s="1" t="s">
        <v>2768</v>
      </c>
      <c r="U2742" s="1" t="s">
        <v>1078</v>
      </c>
      <c r="V2742" s="1">
        <v>15.2</v>
      </c>
      <c r="W2742" s="7"/>
    </row>
    <row r="2743" spans="1:23" x14ac:dyDescent="0.2">
      <c r="A2743" s="1" t="s">
        <v>2510</v>
      </c>
      <c r="B2743" s="1" t="s">
        <v>2769</v>
      </c>
      <c r="U2743" s="1" t="s">
        <v>1078</v>
      </c>
      <c r="V2743" s="1">
        <v>11.1</v>
      </c>
      <c r="W2743" s="7"/>
    </row>
    <row r="2744" spans="1:23" x14ac:dyDescent="0.2">
      <c r="A2744" s="1" t="s">
        <v>2510</v>
      </c>
      <c r="B2744" s="1" t="s">
        <v>2770</v>
      </c>
      <c r="U2744" s="1" t="s">
        <v>1078</v>
      </c>
      <c r="V2744" s="1">
        <v>36.200000000000003</v>
      </c>
      <c r="W2744" s="7"/>
    </row>
    <row r="2745" spans="1:23" x14ac:dyDescent="0.2">
      <c r="A2745" s="1" t="s">
        <v>2510</v>
      </c>
      <c r="B2745" s="1" t="s">
        <v>2771</v>
      </c>
      <c r="U2745" s="1" t="s">
        <v>1078</v>
      </c>
      <c r="V2745" s="1">
        <v>2.2999999999999998</v>
      </c>
      <c r="W2745" s="7"/>
    </row>
    <row r="2746" spans="1:23" x14ac:dyDescent="0.2">
      <c r="A2746" s="1" t="s">
        <v>2510</v>
      </c>
      <c r="B2746" s="1" t="s">
        <v>2772</v>
      </c>
      <c r="U2746" s="1" t="s">
        <v>1078</v>
      </c>
      <c r="V2746" s="1">
        <v>17</v>
      </c>
      <c r="W2746" s="7"/>
    </row>
    <row r="2747" spans="1:23" x14ac:dyDescent="0.2">
      <c r="A2747" s="1" t="s">
        <v>2510</v>
      </c>
      <c r="B2747" s="1" t="s">
        <v>2773</v>
      </c>
      <c r="U2747" s="1" t="s">
        <v>1078</v>
      </c>
      <c r="V2747" s="1">
        <v>22.2</v>
      </c>
      <c r="W2747" s="7"/>
    </row>
    <row r="2748" spans="1:23" x14ac:dyDescent="0.2">
      <c r="A2748" s="1" t="s">
        <v>2510</v>
      </c>
      <c r="B2748" s="1" t="s">
        <v>2774</v>
      </c>
      <c r="U2748" s="1" t="s">
        <v>1078</v>
      </c>
      <c r="V2748" s="1">
        <v>53.3</v>
      </c>
      <c r="W2748" s="7"/>
    </row>
    <row r="2749" spans="1:23" x14ac:dyDescent="0.2">
      <c r="A2749" s="1" t="s">
        <v>2510</v>
      </c>
      <c r="B2749" s="1" t="s">
        <v>2775</v>
      </c>
      <c r="U2749" s="1" t="s">
        <v>1078</v>
      </c>
      <c r="V2749" s="1">
        <v>0.1</v>
      </c>
      <c r="W2749" s="7"/>
    </row>
    <row r="2750" spans="1:23" x14ac:dyDescent="0.2">
      <c r="A2750" s="1" t="s">
        <v>2510</v>
      </c>
      <c r="B2750" s="1" t="s">
        <v>2776</v>
      </c>
      <c r="U2750" s="1" t="s">
        <v>1078</v>
      </c>
      <c r="V2750" s="1">
        <v>42</v>
      </c>
      <c r="W2750" s="7"/>
    </row>
    <row r="2751" spans="1:23" x14ac:dyDescent="0.2">
      <c r="A2751" s="1" t="s">
        <v>2510</v>
      </c>
      <c r="B2751" s="1" t="s">
        <v>2777</v>
      </c>
      <c r="S2751" s="1" t="s">
        <v>1078</v>
      </c>
      <c r="T2751" s="1" t="s">
        <v>1078</v>
      </c>
      <c r="U2751" s="1" t="s">
        <v>1078</v>
      </c>
      <c r="V2751" s="1">
        <v>9</v>
      </c>
      <c r="W2751" s="7"/>
    </row>
    <row r="2752" spans="1:23" x14ac:dyDescent="0.2">
      <c r="A2752" s="1" t="s">
        <v>2510</v>
      </c>
      <c r="B2752" s="1" t="s">
        <v>2778</v>
      </c>
      <c r="V2752" s="1">
        <v>0.3</v>
      </c>
      <c r="W2752" s="7"/>
    </row>
    <row r="2753" spans="1:23" x14ac:dyDescent="0.2">
      <c r="A2753" s="1" t="s">
        <v>2510</v>
      </c>
      <c r="B2753" s="1" t="s">
        <v>2779</v>
      </c>
      <c r="V2753" s="1">
        <v>1.2</v>
      </c>
      <c r="W2753" s="7"/>
    </row>
    <row r="2754" spans="1:23" x14ac:dyDescent="0.2">
      <c r="A2754" s="1" t="s">
        <v>2510</v>
      </c>
      <c r="B2754" s="1" t="s">
        <v>2780</v>
      </c>
      <c r="V2754" s="1">
        <v>14</v>
      </c>
      <c r="W2754" s="7"/>
    </row>
    <row r="2755" spans="1:23" x14ac:dyDescent="0.2">
      <c r="A2755" s="1" t="s">
        <v>2510</v>
      </c>
      <c r="B2755" s="1" t="s">
        <v>2781</v>
      </c>
      <c r="V2755" s="1">
        <v>3.3</v>
      </c>
      <c r="W2755" s="7"/>
    </row>
    <row r="2756" spans="1:23" x14ac:dyDescent="0.2">
      <c r="A2756" s="1" t="s">
        <v>2510</v>
      </c>
      <c r="B2756" s="1" t="s">
        <v>2782</v>
      </c>
      <c r="V2756" s="1">
        <v>11.2</v>
      </c>
      <c r="W2756" s="7"/>
    </row>
    <row r="2757" spans="1:23" x14ac:dyDescent="0.2">
      <c r="A2757" s="1" t="s">
        <v>2510</v>
      </c>
      <c r="B2757" s="1" t="s">
        <v>2783</v>
      </c>
      <c r="V2757" s="1">
        <v>4.0999999999999996</v>
      </c>
      <c r="W2757" s="7"/>
    </row>
    <row r="2758" spans="1:23" x14ac:dyDescent="0.2">
      <c r="A2758" s="1" t="s">
        <v>2510</v>
      </c>
      <c r="B2758" s="1" t="s">
        <v>2784</v>
      </c>
      <c r="V2758" s="1">
        <v>4.3</v>
      </c>
      <c r="W2758" s="7"/>
    </row>
    <row r="2759" spans="1:23" x14ac:dyDescent="0.2">
      <c r="A2759" s="1" t="s">
        <v>2510</v>
      </c>
      <c r="B2759" s="1" t="s">
        <v>2785</v>
      </c>
      <c r="V2759" s="1">
        <v>1</v>
      </c>
      <c r="W2759" s="7"/>
    </row>
    <row r="2760" spans="1:23" x14ac:dyDescent="0.2">
      <c r="A2760" s="1" t="s">
        <v>2510</v>
      </c>
      <c r="B2760" s="1" t="s">
        <v>2786</v>
      </c>
      <c r="V2760" s="1">
        <v>0.1</v>
      </c>
      <c r="W2760" s="7"/>
    </row>
    <row r="2761" spans="1:23" x14ac:dyDescent="0.2">
      <c r="A2761" s="1" t="s">
        <v>2510</v>
      </c>
      <c r="B2761" s="1" t="s">
        <v>2787</v>
      </c>
      <c r="V2761" s="1">
        <v>6.3</v>
      </c>
      <c r="W2761" s="7"/>
    </row>
    <row r="2762" spans="1:23" x14ac:dyDescent="0.2">
      <c r="A2762" s="1" t="s">
        <v>2510</v>
      </c>
      <c r="B2762" s="1" t="s">
        <v>2788</v>
      </c>
      <c r="V2762" s="1">
        <v>7</v>
      </c>
      <c r="W2762" s="7"/>
    </row>
    <row r="2763" spans="1:23" x14ac:dyDescent="0.2">
      <c r="A2763" s="1" t="s">
        <v>2510</v>
      </c>
      <c r="B2763" s="1" t="s">
        <v>2789</v>
      </c>
      <c r="S2763" s="1" t="s">
        <v>1078</v>
      </c>
      <c r="T2763" s="1" t="s">
        <v>1078</v>
      </c>
      <c r="U2763" s="1" t="s">
        <v>1078</v>
      </c>
      <c r="V2763" s="1">
        <v>6.3</v>
      </c>
      <c r="W2763" s="7"/>
    </row>
    <row r="2764" spans="1:23" x14ac:dyDescent="0.2">
      <c r="A2764" s="1" t="s">
        <v>2510</v>
      </c>
      <c r="B2764" s="1" t="s">
        <v>2790</v>
      </c>
      <c r="N2764" s="1" t="s">
        <v>1078</v>
      </c>
      <c r="O2764" s="1" t="s">
        <v>1078</v>
      </c>
      <c r="P2764" s="1" t="s">
        <v>1078</v>
      </c>
      <c r="Q2764" s="1">
        <v>35.1</v>
      </c>
      <c r="R2764" s="1">
        <v>18.100000000000001</v>
      </c>
      <c r="S2764" s="1">
        <v>18.3</v>
      </c>
      <c r="T2764" s="1">
        <v>16.2</v>
      </c>
      <c r="U2764" s="1">
        <v>31.3</v>
      </c>
      <c r="V2764" s="1">
        <v>34.299999999999997</v>
      </c>
      <c r="W2764" s="7"/>
    </row>
    <row r="2765" spans="1:23" x14ac:dyDescent="0.2">
      <c r="A2765" s="1" t="s">
        <v>2510</v>
      </c>
      <c r="B2765" s="1" t="s">
        <v>2791</v>
      </c>
      <c r="N2765" s="1" t="s">
        <v>1078</v>
      </c>
      <c r="O2765" s="1" t="s">
        <v>1078</v>
      </c>
      <c r="P2765" s="1" t="s">
        <v>1078</v>
      </c>
      <c r="Q2765" s="1">
        <v>11.3</v>
      </c>
      <c r="R2765" s="1">
        <v>30</v>
      </c>
      <c r="S2765" s="1">
        <v>31.2</v>
      </c>
      <c r="T2765" s="1">
        <v>23</v>
      </c>
      <c r="U2765" s="1">
        <v>21</v>
      </c>
      <c r="V2765" s="1">
        <v>14</v>
      </c>
      <c r="W2765" s="7"/>
    </row>
    <row r="2766" spans="1:23" x14ac:dyDescent="0.2">
      <c r="A2766" s="1" t="s">
        <v>2510</v>
      </c>
      <c r="B2766" s="1" t="s">
        <v>2792</v>
      </c>
      <c r="N2766" s="1" t="s">
        <v>1078</v>
      </c>
      <c r="O2766" s="1" t="s">
        <v>1078</v>
      </c>
      <c r="P2766" s="1" t="s">
        <v>1078</v>
      </c>
      <c r="Q2766" s="1">
        <v>10.3</v>
      </c>
      <c r="R2766" s="1">
        <v>23.3</v>
      </c>
      <c r="S2766" s="1">
        <v>23.3</v>
      </c>
      <c r="T2766" s="1">
        <v>30.3</v>
      </c>
      <c r="U2766" s="1">
        <v>21.1</v>
      </c>
      <c r="V2766" s="1">
        <v>43.2</v>
      </c>
      <c r="W2766" s="7"/>
    </row>
    <row r="2767" spans="1:23" x14ac:dyDescent="0.2">
      <c r="A2767" s="1" t="s">
        <v>2510</v>
      </c>
      <c r="B2767" s="1" t="s">
        <v>2793</v>
      </c>
      <c r="N2767" s="1" t="s">
        <v>1078</v>
      </c>
      <c r="O2767" s="1" t="s">
        <v>1078</v>
      </c>
      <c r="P2767" s="1" t="s">
        <v>1078</v>
      </c>
      <c r="Q2767" s="1">
        <v>7.2</v>
      </c>
      <c r="R2767" s="1">
        <v>9.1999999999999993</v>
      </c>
      <c r="S2767" s="1">
        <v>11.3</v>
      </c>
      <c r="T2767" s="1">
        <v>10</v>
      </c>
      <c r="U2767" s="1">
        <v>13</v>
      </c>
      <c r="V2767" s="1">
        <v>17.100000000000001</v>
      </c>
      <c r="W2767" s="7"/>
    </row>
    <row r="2768" spans="1:23" x14ac:dyDescent="0.2">
      <c r="A2768" s="1" t="s">
        <v>2510</v>
      </c>
      <c r="B2768" s="1" t="s">
        <v>2794</v>
      </c>
      <c r="N2768" s="1" t="s">
        <v>1078</v>
      </c>
      <c r="O2768" s="1" t="s">
        <v>1078</v>
      </c>
      <c r="P2768" s="1" t="s">
        <v>1078</v>
      </c>
      <c r="R2768" s="1">
        <v>14.1</v>
      </c>
      <c r="S2768" s="1">
        <v>21.3</v>
      </c>
      <c r="T2768" s="1">
        <v>15.2</v>
      </c>
      <c r="U2768" s="1">
        <v>18.100000000000001</v>
      </c>
      <c r="V2768" s="1">
        <v>9.3000000000000007</v>
      </c>
      <c r="W2768" s="7"/>
    </row>
    <row r="2769" spans="1:23" x14ac:dyDescent="0.2">
      <c r="A2769" s="1" t="s">
        <v>2510</v>
      </c>
      <c r="B2769" s="1" t="s">
        <v>2795</v>
      </c>
      <c r="N2769" s="1" t="s">
        <v>1078</v>
      </c>
      <c r="O2769" s="1" t="s">
        <v>1078</v>
      </c>
      <c r="P2769" s="1" t="s">
        <v>1078</v>
      </c>
      <c r="S2769" s="1">
        <v>24.3</v>
      </c>
      <c r="T2769" s="1">
        <v>23.3</v>
      </c>
      <c r="U2769" s="1">
        <v>30.1</v>
      </c>
      <c r="V2769" s="1">
        <v>15</v>
      </c>
      <c r="W2769" s="7"/>
    </row>
    <row r="2770" spans="1:23" x14ac:dyDescent="0.2">
      <c r="A2770" s="1" t="s">
        <v>2510</v>
      </c>
      <c r="B2770" s="1" t="s">
        <v>2796</v>
      </c>
      <c r="N2770" s="1" t="s">
        <v>1078</v>
      </c>
      <c r="O2770" s="1" t="s">
        <v>1078</v>
      </c>
      <c r="P2770" s="1" t="s">
        <v>1078</v>
      </c>
      <c r="Q2770" s="1">
        <v>20.3</v>
      </c>
      <c r="R2770" s="1">
        <v>22.3</v>
      </c>
      <c r="S2770" s="1">
        <v>19.3</v>
      </c>
      <c r="T2770" s="1">
        <v>23.1</v>
      </c>
      <c r="U2770" s="1">
        <v>17.3</v>
      </c>
      <c r="V2770" s="1">
        <v>26.2</v>
      </c>
      <c r="W2770" s="7"/>
    </row>
    <row r="2771" spans="1:23" x14ac:dyDescent="0.2">
      <c r="A2771" s="1" t="s">
        <v>2510</v>
      </c>
      <c r="B2771" s="1" t="s">
        <v>2797</v>
      </c>
      <c r="N2771" s="1" t="s">
        <v>1078</v>
      </c>
      <c r="O2771" s="1" t="s">
        <v>1078</v>
      </c>
      <c r="P2771" s="1" t="s">
        <v>1078</v>
      </c>
      <c r="Q2771" s="1">
        <v>3</v>
      </c>
      <c r="R2771" s="1">
        <v>18.3</v>
      </c>
      <c r="S2771" s="1">
        <v>10.199999999999999</v>
      </c>
      <c r="T2771" s="1">
        <v>5.2</v>
      </c>
      <c r="U2771" s="1">
        <v>15.1</v>
      </c>
      <c r="V2771" s="1">
        <v>13.2</v>
      </c>
      <c r="W2771" s="7"/>
    </row>
    <row r="2772" spans="1:23" x14ac:dyDescent="0.2">
      <c r="A2772" s="1" t="s">
        <v>2510</v>
      </c>
      <c r="B2772" s="1" t="s">
        <v>2798</v>
      </c>
      <c r="N2772" s="1" t="s">
        <v>1078</v>
      </c>
      <c r="O2772" s="1" t="s">
        <v>1078</v>
      </c>
      <c r="P2772" s="1" t="s">
        <v>1078</v>
      </c>
      <c r="R2772" s="1">
        <v>10.1</v>
      </c>
      <c r="S2772" s="1">
        <v>14</v>
      </c>
      <c r="T2772" s="1">
        <v>14.1</v>
      </c>
      <c r="U2772" s="1">
        <v>13.3</v>
      </c>
      <c r="V2772" s="1">
        <v>13.3</v>
      </c>
      <c r="W2772" s="7"/>
    </row>
    <row r="2773" spans="1:23" x14ac:dyDescent="0.2">
      <c r="A2773" s="1" t="s">
        <v>2510</v>
      </c>
      <c r="B2773" s="1" t="s">
        <v>2799</v>
      </c>
      <c r="N2773" s="1" t="s">
        <v>1078</v>
      </c>
      <c r="O2773" s="1" t="s">
        <v>1078</v>
      </c>
      <c r="P2773" s="1" t="s">
        <v>1078</v>
      </c>
      <c r="Q2773" s="1">
        <v>52.3</v>
      </c>
      <c r="R2773" s="1">
        <v>66.099999999999994</v>
      </c>
      <c r="S2773" s="1">
        <v>82</v>
      </c>
      <c r="T2773" s="1">
        <v>61.1</v>
      </c>
      <c r="U2773" s="1">
        <v>49.3</v>
      </c>
      <c r="V2773" s="1">
        <v>48.3</v>
      </c>
      <c r="W2773" s="7"/>
    </row>
    <row r="2774" spans="1:23" x14ac:dyDescent="0.2">
      <c r="A2774" s="1" t="s">
        <v>2510</v>
      </c>
      <c r="B2774" s="1" t="s">
        <v>2800</v>
      </c>
      <c r="N2774" s="1" t="s">
        <v>1078</v>
      </c>
      <c r="O2774" s="1" t="s">
        <v>1078</v>
      </c>
      <c r="P2774" s="1" t="s">
        <v>1078</v>
      </c>
      <c r="Q2774" s="1">
        <v>20.100000000000001</v>
      </c>
      <c r="W2774" s="7"/>
    </row>
    <row r="2775" spans="1:23" x14ac:dyDescent="0.2">
      <c r="A2775" s="1" t="s">
        <v>2510</v>
      </c>
      <c r="B2775" s="1" t="s">
        <v>2801</v>
      </c>
      <c r="N2775" s="1" t="s">
        <v>1078</v>
      </c>
      <c r="O2775" s="1" t="s">
        <v>1078</v>
      </c>
      <c r="P2775" s="1" t="s">
        <v>1078</v>
      </c>
      <c r="R2775" s="1">
        <v>14.3</v>
      </c>
      <c r="S2775" s="1">
        <v>17.100000000000001</v>
      </c>
      <c r="W2775" s="7"/>
    </row>
    <row r="2776" spans="1:23" x14ac:dyDescent="0.2">
      <c r="A2776" s="1" t="s">
        <v>2510</v>
      </c>
      <c r="B2776" s="1" t="s">
        <v>2802</v>
      </c>
      <c r="N2776" s="1" t="s">
        <v>1078</v>
      </c>
      <c r="O2776" s="1" t="s">
        <v>1078</v>
      </c>
      <c r="P2776" s="1" t="s">
        <v>1078</v>
      </c>
      <c r="S2776" s="1">
        <v>20</v>
      </c>
      <c r="W2776" s="7"/>
    </row>
    <row r="2777" spans="1:23" x14ac:dyDescent="0.2">
      <c r="A2777" s="1" t="s">
        <v>2510</v>
      </c>
      <c r="B2777" s="1" t="s">
        <v>2803</v>
      </c>
      <c r="N2777" s="1" t="s">
        <v>1078</v>
      </c>
      <c r="O2777" s="1" t="s">
        <v>1078</v>
      </c>
      <c r="P2777" s="1" t="s">
        <v>1078</v>
      </c>
      <c r="Q2777" s="1">
        <v>32.200000000000003</v>
      </c>
      <c r="R2777" s="1">
        <v>21.1</v>
      </c>
      <c r="W2777" s="7"/>
    </row>
    <row r="2778" spans="1:23" x14ac:dyDescent="0.2">
      <c r="A2778" s="1" t="s">
        <v>2510</v>
      </c>
      <c r="B2778" s="1" t="s">
        <v>2804</v>
      </c>
      <c r="N2778" s="1" t="s">
        <v>1078</v>
      </c>
      <c r="O2778" s="1" t="s">
        <v>1078</v>
      </c>
      <c r="P2778" s="1" t="s">
        <v>1078</v>
      </c>
      <c r="Q2778" s="1">
        <v>34.299999999999997</v>
      </c>
      <c r="R2778" s="1">
        <v>33.1</v>
      </c>
      <c r="S2778" s="1">
        <v>30.2</v>
      </c>
      <c r="T2778" s="1">
        <v>42.2</v>
      </c>
      <c r="U2778" s="1">
        <v>38</v>
      </c>
      <c r="V2778" s="1">
        <v>40.200000000000003</v>
      </c>
      <c r="W2778" s="7"/>
    </row>
    <row r="2779" spans="1:23" x14ac:dyDescent="0.2">
      <c r="A2779" s="1" t="s">
        <v>2510</v>
      </c>
      <c r="B2779" s="1" t="s">
        <v>2805</v>
      </c>
      <c r="W2779" s="7"/>
    </row>
    <row r="2780" spans="1:23" x14ac:dyDescent="0.2">
      <c r="A2780" s="1" t="s">
        <v>2510</v>
      </c>
      <c r="B2780" s="1" t="s">
        <v>2806</v>
      </c>
      <c r="Q2780" s="1" t="s">
        <v>2807</v>
      </c>
      <c r="R2780" s="1" t="s">
        <v>2807</v>
      </c>
      <c r="S2780" s="1" t="s">
        <v>2808</v>
      </c>
      <c r="T2780" s="1" t="s">
        <v>2809</v>
      </c>
      <c r="U2780" s="1" t="s">
        <v>2727</v>
      </c>
      <c r="V2780" s="1">
        <v>17.3</v>
      </c>
      <c r="W2780" s="7"/>
    </row>
    <row r="2781" spans="1:23" x14ac:dyDescent="0.2">
      <c r="A2781" s="1" t="s">
        <v>2510</v>
      </c>
      <c r="B2781" s="1" t="s">
        <v>2810</v>
      </c>
      <c r="C2781" s="1">
        <v>18.2</v>
      </c>
      <c r="D2781" s="1">
        <v>18.2</v>
      </c>
      <c r="E2781" s="1">
        <v>19.3</v>
      </c>
      <c r="F2781" s="1">
        <v>21</v>
      </c>
      <c r="G2781" s="1">
        <v>21</v>
      </c>
      <c r="H2781" s="1">
        <v>22.3</v>
      </c>
      <c r="I2781" s="1">
        <v>23.2</v>
      </c>
      <c r="J2781" s="1">
        <v>24.3</v>
      </c>
      <c r="K2781" s="1">
        <v>25.1</v>
      </c>
      <c r="L2781" s="1">
        <v>22</v>
      </c>
      <c r="M2781" s="1">
        <v>20.2</v>
      </c>
      <c r="N2781" s="1">
        <v>21.1</v>
      </c>
      <c r="O2781" s="1">
        <v>20.100000000000001</v>
      </c>
      <c r="P2781" s="1" t="s">
        <v>2811</v>
      </c>
      <c r="Q2781" s="1" t="s">
        <v>2812</v>
      </c>
      <c r="R2781" s="1" t="s">
        <v>2813</v>
      </c>
      <c r="S2781" s="1" t="s">
        <v>2814</v>
      </c>
      <c r="T2781" s="1" t="s">
        <v>2815</v>
      </c>
      <c r="U2781" s="1" t="s">
        <v>2816</v>
      </c>
      <c r="V2781" s="1">
        <v>26</v>
      </c>
      <c r="W2781" s="7"/>
    </row>
    <row r="2782" spans="1:23" x14ac:dyDescent="0.2">
      <c r="A2782" s="1" t="s">
        <v>2510</v>
      </c>
      <c r="B2782" s="1" t="s">
        <v>2817</v>
      </c>
      <c r="P2782" s="1" t="s">
        <v>2665</v>
      </c>
      <c r="Q2782" s="1" t="s">
        <v>2818</v>
      </c>
      <c r="R2782" s="1" t="s">
        <v>2819</v>
      </c>
      <c r="S2782" s="1" t="s">
        <v>2820</v>
      </c>
      <c r="T2782" s="1" t="s">
        <v>2726</v>
      </c>
      <c r="U2782" s="1" t="s">
        <v>2821</v>
      </c>
      <c r="V2782" s="1">
        <v>12</v>
      </c>
      <c r="W2782" s="7"/>
    </row>
    <row r="2783" spans="1:23" s="7" customFormat="1" x14ac:dyDescent="0.2">
      <c r="A2783" s="1" t="s">
        <v>2510</v>
      </c>
      <c r="B2783" s="1" t="s">
        <v>2822</v>
      </c>
      <c r="C2783" s="1"/>
      <c r="D2783" s="1"/>
      <c r="E2783" s="1"/>
      <c r="F2783" s="1"/>
      <c r="G2783" s="1"/>
      <c r="H2783" s="1"/>
      <c r="I2783" s="1"/>
      <c r="J2783" s="1"/>
      <c r="K2783" s="1"/>
      <c r="L2783" s="1"/>
      <c r="M2783" s="1"/>
      <c r="N2783" s="1"/>
      <c r="O2783" s="1"/>
      <c r="P2783" s="1"/>
      <c r="Q2783" s="1"/>
      <c r="R2783" s="1"/>
      <c r="S2783" s="1">
        <v>30</v>
      </c>
      <c r="T2783" s="1">
        <v>32.200000000000003</v>
      </c>
      <c r="U2783" s="1">
        <v>32</v>
      </c>
      <c r="V2783" s="1">
        <v>32.299999999999997</v>
      </c>
    </row>
    <row r="2784" spans="1:23" s="7" customFormat="1" x14ac:dyDescent="0.2">
      <c r="A2784" s="1" t="s">
        <v>2510</v>
      </c>
      <c r="B2784" s="1" t="s">
        <v>2823</v>
      </c>
      <c r="C2784" s="1"/>
      <c r="D2784" s="1"/>
      <c r="E2784" s="1"/>
      <c r="F2784" s="1"/>
      <c r="G2784" s="1"/>
      <c r="H2784" s="1"/>
      <c r="I2784" s="1"/>
      <c r="J2784" s="1"/>
      <c r="K2784" s="1"/>
      <c r="L2784" s="1"/>
      <c r="M2784" s="1"/>
      <c r="N2784" s="1"/>
      <c r="O2784" s="1"/>
      <c r="P2784" s="1"/>
      <c r="Q2784" s="1"/>
      <c r="R2784" s="1"/>
      <c r="S2784" s="1">
        <v>4.2</v>
      </c>
      <c r="T2784" s="1">
        <v>5.0999999999999996</v>
      </c>
      <c r="U2784" s="1">
        <v>6.2</v>
      </c>
      <c r="V2784" s="1">
        <v>7</v>
      </c>
    </row>
    <row r="2785" spans="1:22" s="7" customFormat="1" x14ac:dyDescent="0.2">
      <c r="A2785" s="1" t="s">
        <v>2510</v>
      </c>
      <c r="B2785" s="1" t="s">
        <v>2824</v>
      </c>
      <c r="C2785" s="1"/>
      <c r="D2785" s="1"/>
      <c r="E2785" s="1"/>
      <c r="F2785" s="1"/>
      <c r="G2785" s="1"/>
      <c r="H2785" s="1"/>
      <c r="I2785" s="1"/>
      <c r="J2785" s="1"/>
      <c r="K2785" s="1"/>
      <c r="L2785" s="1"/>
      <c r="M2785" s="1"/>
      <c r="N2785" s="1"/>
      <c r="O2785" s="1"/>
      <c r="P2785" s="1"/>
      <c r="Q2785" s="1"/>
      <c r="R2785" s="1"/>
      <c r="S2785" s="1">
        <v>32.1</v>
      </c>
      <c r="T2785" s="1">
        <v>34.200000000000003</v>
      </c>
      <c r="U2785" s="1">
        <v>35.1</v>
      </c>
      <c r="V2785" s="1">
        <v>35.200000000000003</v>
      </c>
    </row>
    <row r="2786" spans="1:22" s="7" customFormat="1" x14ac:dyDescent="0.2">
      <c r="A2786" s="1" t="s">
        <v>2510</v>
      </c>
      <c r="B2786" s="1" t="s">
        <v>2825</v>
      </c>
      <c r="C2786" s="1"/>
      <c r="D2786" s="1"/>
      <c r="E2786" s="1"/>
      <c r="F2786" s="1"/>
      <c r="G2786" s="1"/>
      <c r="H2786" s="1"/>
      <c r="I2786" s="1"/>
      <c r="J2786" s="1"/>
      <c r="K2786" s="1"/>
      <c r="L2786" s="1"/>
      <c r="M2786" s="1"/>
      <c r="N2786" s="1"/>
      <c r="O2786" s="1"/>
      <c r="P2786" s="1"/>
      <c r="Q2786" s="1"/>
      <c r="R2786" s="1"/>
      <c r="S2786" s="1" t="s">
        <v>2816</v>
      </c>
      <c r="T2786" s="1" t="s">
        <v>2826</v>
      </c>
      <c r="U2786" s="1" t="s">
        <v>2827</v>
      </c>
      <c r="V2786" s="1">
        <v>27.1</v>
      </c>
    </row>
    <row r="2787" spans="1:22" s="7" customFormat="1" x14ac:dyDescent="0.2">
      <c r="A2787" s="1" t="s">
        <v>2510</v>
      </c>
      <c r="B2787" s="1" t="s">
        <v>2828</v>
      </c>
      <c r="C2787" s="1"/>
      <c r="D2787" s="1"/>
      <c r="E2787" s="1"/>
      <c r="F2787" s="1"/>
      <c r="G2787" s="1"/>
      <c r="H2787" s="1"/>
      <c r="I2787" s="1"/>
      <c r="J2787" s="1"/>
      <c r="K2787" s="1"/>
      <c r="L2787" s="1"/>
      <c r="M2787" s="1"/>
      <c r="N2787" s="1"/>
      <c r="O2787" s="1"/>
      <c r="P2787" s="1"/>
      <c r="Q2787" s="1"/>
      <c r="R2787" s="1"/>
      <c r="S2787" s="1" t="s">
        <v>2829</v>
      </c>
      <c r="T2787" s="1" t="s">
        <v>2830</v>
      </c>
      <c r="U2787" s="1" t="s">
        <v>2831</v>
      </c>
      <c r="V2787" s="1">
        <v>17</v>
      </c>
    </row>
    <row r="2788" spans="1:22" s="7" customFormat="1" x14ac:dyDescent="0.2">
      <c r="A2788" s="1" t="s">
        <v>2510</v>
      </c>
      <c r="B2788" s="1" t="s">
        <v>2832</v>
      </c>
      <c r="C2788" s="1"/>
      <c r="D2788" s="1"/>
      <c r="E2788" s="1"/>
      <c r="F2788" s="1"/>
      <c r="G2788" s="1"/>
      <c r="H2788" s="1"/>
      <c r="I2788" s="1"/>
      <c r="J2788" s="1"/>
      <c r="K2788" s="1"/>
      <c r="L2788" s="1"/>
      <c r="M2788" s="1"/>
      <c r="N2788" s="1"/>
      <c r="O2788" s="1"/>
      <c r="P2788" s="1"/>
      <c r="Q2788" s="1"/>
      <c r="R2788" s="1"/>
      <c r="S2788" s="1"/>
      <c r="T2788" s="1"/>
      <c r="U2788" s="1"/>
      <c r="V2788" s="1">
        <v>26.3</v>
      </c>
    </row>
    <row r="2789" spans="1:22" s="7" customFormat="1" x14ac:dyDescent="0.2">
      <c r="A2789" s="1" t="s">
        <v>2510</v>
      </c>
      <c r="B2789" s="1" t="s">
        <v>2833</v>
      </c>
      <c r="C2789" s="1"/>
      <c r="D2789" s="1"/>
      <c r="E2789" s="1"/>
      <c r="F2789" s="1"/>
      <c r="G2789" s="1"/>
      <c r="H2789" s="1"/>
      <c r="I2789" s="1"/>
      <c r="J2789" s="1"/>
      <c r="K2789" s="1"/>
      <c r="L2789" s="1"/>
      <c r="M2789" s="1"/>
      <c r="N2789" s="1"/>
      <c r="O2789" s="1"/>
      <c r="P2789" s="1"/>
      <c r="Q2789" s="1"/>
      <c r="R2789" s="1"/>
      <c r="S2789" s="1"/>
      <c r="T2789" s="1"/>
      <c r="U2789" s="1"/>
      <c r="V2789" s="1">
        <v>15</v>
      </c>
    </row>
    <row r="2790" spans="1:22" s="7" customFormat="1" x14ac:dyDescent="0.2">
      <c r="A2790" s="1" t="s">
        <v>2510</v>
      </c>
      <c r="B2790" s="1" t="s">
        <v>2834</v>
      </c>
      <c r="C2790" s="1"/>
      <c r="D2790" s="1"/>
      <c r="E2790" s="1"/>
      <c r="F2790" s="1"/>
      <c r="G2790" s="1"/>
      <c r="H2790" s="1"/>
      <c r="I2790" s="1"/>
      <c r="J2790" s="1"/>
      <c r="K2790" s="1"/>
      <c r="L2790" s="1"/>
      <c r="M2790" s="1"/>
      <c r="N2790" s="1"/>
      <c r="O2790" s="1"/>
      <c r="P2790" s="1"/>
      <c r="Q2790" s="1"/>
      <c r="R2790" s="1"/>
      <c r="S2790" s="1"/>
      <c r="T2790" s="1"/>
      <c r="U2790" s="1"/>
      <c r="V2790" s="1">
        <v>1.2</v>
      </c>
    </row>
    <row r="2791" spans="1:22" s="7" customFormat="1" x14ac:dyDescent="0.2">
      <c r="A2791" s="1" t="s">
        <v>2510</v>
      </c>
      <c r="B2791" s="1" t="s">
        <v>2835</v>
      </c>
      <c r="C2791" s="1"/>
      <c r="D2791" s="1"/>
      <c r="E2791" s="1"/>
      <c r="F2791" s="1"/>
      <c r="G2791" s="1"/>
      <c r="H2791" s="1"/>
      <c r="I2791" s="1"/>
      <c r="J2791" s="1"/>
      <c r="K2791" s="1"/>
      <c r="L2791" s="1"/>
      <c r="M2791" s="1"/>
      <c r="N2791" s="1"/>
      <c r="O2791" s="1"/>
      <c r="P2791" s="1"/>
      <c r="Q2791" s="1"/>
      <c r="R2791" s="1"/>
      <c r="S2791" s="1"/>
      <c r="T2791" s="1"/>
      <c r="U2791" s="1"/>
      <c r="V2791" s="1">
        <v>7.1</v>
      </c>
    </row>
    <row r="2792" spans="1:22" s="7" customFormat="1" x14ac:dyDescent="0.2">
      <c r="A2792" s="1" t="s">
        <v>2510</v>
      </c>
      <c r="B2792" s="1" t="s">
        <v>2836</v>
      </c>
      <c r="C2792" s="1"/>
      <c r="D2792" s="1"/>
      <c r="E2792" s="1"/>
      <c r="F2792" s="1"/>
      <c r="G2792" s="1"/>
      <c r="H2792" s="1"/>
      <c r="I2792" s="1"/>
      <c r="J2792" s="1"/>
      <c r="K2792" s="1"/>
      <c r="L2792" s="1"/>
      <c r="M2792" s="1"/>
      <c r="N2792" s="1"/>
      <c r="O2792" s="1"/>
      <c r="P2792" s="1"/>
      <c r="Q2792" s="1"/>
      <c r="R2792" s="1"/>
      <c r="S2792" s="1"/>
      <c r="T2792" s="1"/>
      <c r="U2792" s="1"/>
      <c r="V2792" s="1">
        <v>7.2</v>
      </c>
    </row>
    <row r="2793" spans="1:22" s="7" customFormat="1" x14ac:dyDescent="0.2">
      <c r="A2793" s="1" t="s">
        <v>2510</v>
      </c>
      <c r="B2793" s="1" t="s">
        <v>2837</v>
      </c>
      <c r="C2793" s="1"/>
      <c r="D2793" s="1"/>
      <c r="E2793" s="1"/>
      <c r="F2793" s="1"/>
      <c r="G2793" s="1"/>
      <c r="H2793" s="1"/>
      <c r="I2793" s="1"/>
      <c r="J2793" s="1"/>
      <c r="K2793" s="1"/>
      <c r="L2793" s="1"/>
      <c r="M2793" s="1"/>
      <c r="N2793" s="1"/>
      <c r="O2793" s="1"/>
      <c r="P2793" s="1"/>
      <c r="Q2793" s="1"/>
      <c r="R2793" s="1"/>
      <c r="S2793" s="1"/>
      <c r="T2793" s="1"/>
      <c r="U2793" s="1"/>
      <c r="V2793" s="1">
        <v>5.3</v>
      </c>
    </row>
    <row r="2794" spans="1:22" s="7" customFormat="1" x14ac:dyDescent="0.2">
      <c r="A2794" s="1" t="s">
        <v>2510</v>
      </c>
      <c r="B2794" s="1" t="s">
        <v>2838</v>
      </c>
      <c r="C2794" s="1"/>
      <c r="D2794" s="1"/>
      <c r="E2794" s="1"/>
      <c r="F2794" s="1"/>
      <c r="G2794" s="1"/>
      <c r="H2794" s="1"/>
      <c r="I2794" s="1"/>
      <c r="J2794" s="1"/>
      <c r="K2794" s="1"/>
      <c r="L2794" s="1"/>
      <c r="M2794" s="1"/>
      <c r="N2794" s="1"/>
      <c r="O2794" s="1"/>
      <c r="P2794" s="1"/>
      <c r="Q2794" s="1"/>
      <c r="R2794" s="1"/>
      <c r="S2794" s="1"/>
      <c r="T2794" s="1"/>
      <c r="U2794" s="1"/>
      <c r="V2794" s="1">
        <v>7.2</v>
      </c>
    </row>
    <row r="2795" spans="1:22" s="7" customFormat="1" x14ac:dyDescent="0.2">
      <c r="A2795" s="1" t="s">
        <v>2510</v>
      </c>
      <c r="B2795" s="1" t="s">
        <v>2839</v>
      </c>
      <c r="C2795" s="1"/>
      <c r="D2795" s="1"/>
      <c r="E2795" s="1"/>
      <c r="F2795" s="1"/>
      <c r="G2795" s="1"/>
      <c r="H2795" s="1"/>
      <c r="I2795" s="1"/>
      <c r="J2795" s="1"/>
      <c r="K2795" s="1"/>
      <c r="L2795" s="1"/>
      <c r="M2795" s="1"/>
      <c r="N2795" s="1"/>
      <c r="O2795" s="1"/>
      <c r="P2795" s="1"/>
      <c r="Q2795" s="1"/>
      <c r="R2795" s="1"/>
      <c r="S2795" s="1"/>
      <c r="T2795" s="1"/>
      <c r="U2795" s="1"/>
      <c r="V2795" s="1">
        <v>0.3</v>
      </c>
    </row>
    <row r="2796" spans="1:22" s="7" customFormat="1" x14ac:dyDescent="0.2">
      <c r="A2796" s="1" t="s">
        <v>2510</v>
      </c>
      <c r="B2796" s="1" t="s">
        <v>2840</v>
      </c>
      <c r="C2796" s="1"/>
      <c r="D2796" s="1"/>
      <c r="E2796" s="1"/>
      <c r="F2796" s="1"/>
      <c r="G2796" s="1"/>
      <c r="H2796" s="1"/>
      <c r="I2796" s="1"/>
      <c r="J2796" s="1"/>
      <c r="K2796" s="1"/>
      <c r="L2796" s="1"/>
      <c r="M2796" s="1"/>
      <c r="N2796" s="1"/>
      <c r="O2796" s="1"/>
      <c r="P2796" s="1"/>
      <c r="Q2796" s="1"/>
      <c r="R2796" s="1"/>
      <c r="S2796" s="1"/>
      <c r="T2796" s="1"/>
      <c r="U2796" s="1"/>
      <c r="V2796" s="1">
        <v>6</v>
      </c>
    </row>
    <row r="2797" spans="1:22" s="7" customFormat="1" x14ac:dyDescent="0.2">
      <c r="A2797" s="1" t="s">
        <v>2510</v>
      </c>
      <c r="B2797" s="1" t="s">
        <v>2841</v>
      </c>
      <c r="C2797" s="1"/>
      <c r="D2797" s="1"/>
      <c r="E2797" s="1"/>
      <c r="F2797" s="1"/>
      <c r="G2797" s="1"/>
      <c r="H2797" s="1"/>
      <c r="I2797" s="1"/>
      <c r="J2797" s="1"/>
      <c r="K2797" s="1"/>
      <c r="L2797" s="1"/>
      <c r="M2797" s="1"/>
      <c r="N2797" s="1"/>
      <c r="O2797" s="1"/>
      <c r="P2797" s="1"/>
      <c r="Q2797" s="1"/>
      <c r="R2797" s="1"/>
      <c r="S2797" s="1"/>
      <c r="T2797" s="1"/>
      <c r="U2797" s="1"/>
      <c r="V2797" s="1">
        <v>21.2</v>
      </c>
    </row>
    <row r="2798" spans="1:22" s="7" customFormat="1" x14ac:dyDescent="0.2">
      <c r="A2798" s="1" t="s">
        <v>2510</v>
      </c>
      <c r="B2798" s="1" t="s">
        <v>2842</v>
      </c>
      <c r="C2798" s="1"/>
      <c r="D2798" s="1"/>
      <c r="E2798" s="1"/>
      <c r="F2798" s="1"/>
      <c r="G2798" s="1"/>
      <c r="H2798" s="1"/>
      <c r="I2798" s="1"/>
      <c r="J2798" s="1"/>
      <c r="K2798" s="1"/>
      <c r="L2798" s="1"/>
      <c r="M2798" s="1"/>
      <c r="N2798" s="1"/>
      <c r="O2798" s="1"/>
      <c r="P2798" s="1"/>
      <c r="Q2798" s="1"/>
      <c r="R2798" s="1"/>
      <c r="S2798" s="1"/>
      <c r="T2798" s="1"/>
      <c r="U2798" s="1"/>
      <c r="V2798" s="1">
        <v>8</v>
      </c>
    </row>
    <row r="2799" spans="1:22" s="7" customFormat="1" x14ac:dyDescent="0.2">
      <c r="A2799" s="1" t="s">
        <v>2510</v>
      </c>
      <c r="B2799" s="1" t="s">
        <v>2843</v>
      </c>
      <c r="C2799" s="1"/>
      <c r="D2799" s="1"/>
      <c r="E2799" s="1"/>
      <c r="F2799" s="1"/>
      <c r="G2799" s="1"/>
      <c r="H2799" s="1"/>
      <c r="I2799" s="1"/>
      <c r="J2799" s="1"/>
      <c r="K2799" s="1"/>
      <c r="L2799" s="1"/>
      <c r="M2799" s="1"/>
      <c r="N2799" s="1"/>
      <c r="O2799" s="1"/>
      <c r="P2799" s="1"/>
      <c r="Q2799" s="1"/>
      <c r="R2799" s="1"/>
      <c r="S2799" s="1"/>
      <c r="T2799" s="1"/>
      <c r="U2799" s="1"/>
      <c r="V2799" s="1">
        <v>14</v>
      </c>
    </row>
    <row r="2800" spans="1:22" s="7" customFormat="1" x14ac:dyDescent="0.2">
      <c r="A2800" s="1" t="s">
        <v>2510</v>
      </c>
      <c r="B2800" s="1" t="s">
        <v>2844</v>
      </c>
      <c r="C2800" s="1"/>
      <c r="D2800" s="1"/>
      <c r="E2800" s="1"/>
      <c r="F2800" s="1"/>
      <c r="G2800" s="1"/>
      <c r="H2800" s="1"/>
      <c r="I2800" s="1"/>
      <c r="J2800" s="1"/>
      <c r="K2800" s="1"/>
      <c r="L2800" s="1"/>
      <c r="M2800" s="1"/>
      <c r="N2800" s="1"/>
      <c r="O2800" s="1"/>
      <c r="P2800" s="1"/>
      <c r="Q2800" s="1"/>
      <c r="R2800" s="1"/>
      <c r="S2800" s="1"/>
      <c r="T2800" s="1"/>
      <c r="U2800" s="1"/>
      <c r="V2800" s="1">
        <v>3.1</v>
      </c>
    </row>
    <row r="2801" spans="1:23" s="7" customFormat="1" x14ac:dyDescent="0.2">
      <c r="A2801" s="1" t="s">
        <v>2510</v>
      </c>
      <c r="B2801" s="1" t="s">
        <v>2845</v>
      </c>
      <c r="C2801" s="1"/>
      <c r="D2801" s="1"/>
      <c r="E2801" s="1"/>
      <c r="F2801" s="1"/>
      <c r="G2801" s="1"/>
      <c r="H2801" s="1"/>
      <c r="I2801" s="1"/>
      <c r="J2801" s="1"/>
      <c r="K2801" s="1"/>
      <c r="L2801" s="1"/>
      <c r="M2801" s="1"/>
      <c r="N2801" s="1"/>
      <c r="O2801" s="1"/>
      <c r="P2801" s="1"/>
      <c r="Q2801" s="1"/>
      <c r="R2801" s="1"/>
      <c r="S2801" s="1"/>
      <c r="T2801" s="1"/>
      <c r="U2801" s="1"/>
      <c r="V2801" s="1">
        <v>29.1</v>
      </c>
    </row>
    <row r="2802" spans="1:23" s="7" customFormat="1" x14ac:dyDescent="0.2">
      <c r="A2802" s="1" t="s">
        <v>2510</v>
      </c>
      <c r="B2802" s="1" t="s">
        <v>2846</v>
      </c>
      <c r="C2802" s="1"/>
      <c r="D2802" s="1"/>
      <c r="E2802" s="1"/>
      <c r="F2802" s="1"/>
      <c r="G2802" s="1"/>
      <c r="H2802" s="1"/>
      <c r="I2802" s="1"/>
      <c r="J2802" s="1"/>
      <c r="K2802" s="1"/>
      <c r="L2802" s="1"/>
      <c r="M2802" s="1"/>
      <c r="N2802" s="1"/>
      <c r="O2802" s="1"/>
      <c r="P2802" s="1"/>
      <c r="Q2802" s="1"/>
      <c r="R2802" s="1"/>
      <c r="S2802" s="1"/>
      <c r="T2802" s="1"/>
      <c r="U2802" s="1"/>
      <c r="V2802" s="1">
        <v>63.2</v>
      </c>
    </row>
    <row r="2803" spans="1:23" s="7" customFormat="1" x14ac:dyDescent="0.2">
      <c r="A2803" s="1" t="s">
        <v>2510</v>
      </c>
      <c r="B2803" s="1" t="s">
        <v>2847</v>
      </c>
      <c r="C2803" s="1"/>
      <c r="D2803" s="1"/>
      <c r="E2803" s="1"/>
      <c r="F2803" s="1"/>
      <c r="G2803" s="1"/>
      <c r="H2803" s="1"/>
      <c r="I2803" s="1"/>
      <c r="J2803" s="1"/>
      <c r="K2803" s="1"/>
      <c r="L2803" s="1"/>
      <c r="M2803" s="1"/>
      <c r="N2803" s="1"/>
      <c r="O2803" s="1"/>
      <c r="P2803" s="1"/>
      <c r="Q2803" s="1"/>
      <c r="R2803" s="1"/>
      <c r="S2803" s="1"/>
      <c r="T2803" s="1"/>
      <c r="U2803" s="1"/>
      <c r="V2803" s="1">
        <v>5.0999999999999996</v>
      </c>
    </row>
    <row r="2804" spans="1:23" s="7" customFormat="1" x14ac:dyDescent="0.2">
      <c r="A2804" s="1" t="s">
        <v>2510</v>
      </c>
      <c r="B2804" s="1" t="s">
        <v>2848</v>
      </c>
      <c r="C2804" s="1"/>
      <c r="D2804" s="1"/>
      <c r="E2804" s="1"/>
      <c r="F2804" s="1"/>
      <c r="G2804" s="1"/>
      <c r="H2804" s="1"/>
      <c r="I2804" s="1"/>
      <c r="J2804" s="1"/>
      <c r="K2804" s="1"/>
      <c r="L2804" s="1"/>
      <c r="M2804" s="1"/>
      <c r="N2804" s="1"/>
      <c r="O2804" s="1"/>
      <c r="P2804" s="1"/>
      <c r="Q2804" s="1"/>
      <c r="R2804" s="1"/>
      <c r="S2804" s="1"/>
      <c r="T2804" s="1"/>
      <c r="U2804" s="1"/>
      <c r="V2804" s="1">
        <v>27.3</v>
      </c>
    </row>
    <row r="2805" spans="1:23" s="7" customFormat="1" x14ac:dyDescent="0.2">
      <c r="A2805" s="1" t="s">
        <v>2510</v>
      </c>
      <c r="B2805" s="1" t="s">
        <v>2849</v>
      </c>
      <c r="C2805" s="1"/>
      <c r="D2805" s="1"/>
      <c r="E2805" s="1"/>
      <c r="F2805" s="1"/>
      <c r="G2805" s="1"/>
      <c r="H2805" s="1"/>
      <c r="I2805" s="1"/>
      <c r="J2805" s="1"/>
      <c r="K2805" s="1"/>
      <c r="L2805" s="1"/>
      <c r="M2805" s="1"/>
      <c r="N2805" s="1"/>
      <c r="O2805" s="1"/>
      <c r="P2805" s="1"/>
      <c r="Q2805" s="1"/>
      <c r="R2805" s="1"/>
      <c r="S2805" s="1"/>
      <c r="T2805" s="1"/>
      <c r="U2805" s="1"/>
      <c r="V2805" s="1">
        <v>7.1</v>
      </c>
    </row>
    <row r="2806" spans="1:23" s="7" customFormat="1" x14ac:dyDescent="0.2">
      <c r="A2806" s="1" t="s">
        <v>2510</v>
      </c>
      <c r="B2806" s="1" t="s">
        <v>2850</v>
      </c>
      <c r="C2806" s="1"/>
      <c r="D2806" s="1"/>
      <c r="E2806" s="1"/>
      <c r="F2806" s="1"/>
      <c r="G2806" s="1"/>
      <c r="H2806" s="1"/>
      <c r="I2806" s="1"/>
      <c r="J2806" s="1"/>
      <c r="K2806" s="1"/>
      <c r="L2806" s="1"/>
      <c r="M2806" s="1"/>
      <c r="N2806" s="1"/>
      <c r="O2806" s="1"/>
      <c r="P2806" s="1"/>
      <c r="Q2806" s="1"/>
      <c r="R2806" s="1"/>
      <c r="S2806" s="1"/>
      <c r="T2806" s="1"/>
      <c r="U2806" s="1"/>
      <c r="V2806" s="1">
        <v>10.3</v>
      </c>
    </row>
    <row r="2807" spans="1:23" x14ac:dyDescent="0.2">
      <c r="A2807" s="1" t="s">
        <v>2510</v>
      </c>
      <c r="B2807" s="1" t="s">
        <v>2851</v>
      </c>
      <c r="O2807" s="1">
        <v>4</v>
      </c>
      <c r="P2807" s="1">
        <v>4.3</v>
      </c>
      <c r="Q2807" s="1">
        <v>5</v>
      </c>
      <c r="R2807" s="1">
        <v>4</v>
      </c>
      <c r="S2807" s="1">
        <v>5.3</v>
      </c>
      <c r="T2807" s="1">
        <v>4.2</v>
      </c>
      <c r="U2807" s="1" t="s">
        <v>2852</v>
      </c>
      <c r="V2807" s="1">
        <v>3.3</v>
      </c>
      <c r="W2807" s="7"/>
    </row>
    <row r="2808" spans="1:23" x14ac:dyDescent="0.2">
      <c r="A2808" s="1" t="s">
        <v>2510</v>
      </c>
      <c r="B2808" s="1" t="s">
        <v>2853</v>
      </c>
      <c r="W2808" s="7"/>
    </row>
    <row r="2809" spans="1:23" x14ac:dyDescent="0.2">
      <c r="A2809" s="1" t="s">
        <v>2510</v>
      </c>
      <c r="B2809" s="1" t="s">
        <v>2854</v>
      </c>
      <c r="P2809" s="1" t="s">
        <v>2855</v>
      </c>
      <c r="Q2809" s="1" t="s">
        <v>2821</v>
      </c>
      <c r="R2809" s="1" t="s">
        <v>2724</v>
      </c>
      <c r="W2809" s="7"/>
    </row>
    <row r="2810" spans="1:23" x14ac:dyDescent="0.2">
      <c r="A2810" s="1" t="s">
        <v>2510</v>
      </c>
      <c r="B2810" s="1" t="s">
        <v>2856</v>
      </c>
      <c r="R2810" s="1" t="s">
        <v>2857</v>
      </c>
      <c r="S2810" s="1" t="s">
        <v>2857</v>
      </c>
      <c r="T2810" s="1" t="s">
        <v>2858</v>
      </c>
      <c r="U2810" s="1" t="s">
        <v>2859</v>
      </c>
      <c r="V2810" s="1">
        <v>6.4</v>
      </c>
      <c r="W2810" s="7"/>
    </row>
    <row r="2811" spans="1:23" x14ac:dyDescent="0.2">
      <c r="A2811" s="1" t="s">
        <v>2510</v>
      </c>
      <c r="B2811" s="1" t="s">
        <v>2860</v>
      </c>
      <c r="V2811" s="1">
        <v>2.2000000000000002</v>
      </c>
      <c r="W2811" s="7"/>
    </row>
    <row r="2812" spans="1:23" x14ac:dyDescent="0.2">
      <c r="A2812" s="1" t="s">
        <v>2510</v>
      </c>
      <c r="B2812" s="1" t="s">
        <v>2861</v>
      </c>
      <c r="V2812" s="1">
        <v>7.3</v>
      </c>
      <c r="W2812" s="7"/>
    </row>
    <row r="2813" spans="1:23" x14ac:dyDescent="0.2">
      <c r="A2813" s="1" t="s">
        <v>2510</v>
      </c>
      <c r="B2813" s="1" t="s">
        <v>2862</v>
      </c>
      <c r="V2813" s="1">
        <v>12.3</v>
      </c>
      <c r="W2813" s="7"/>
    </row>
    <row r="2814" spans="1:23" x14ac:dyDescent="0.2">
      <c r="A2814" s="1" t="s">
        <v>2510</v>
      </c>
      <c r="B2814" s="1" t="s">
        <v>2863</v>
      </c>
      <c r="V2814" s="1">
        <v>12.2</v>
      </c>
      <c r="W2814" s="7"/>
    </row>
    <row r="2815" spans="1:23" x14ac:dyDescent="0.2">
      <c r="A2815" s="1" t="s">
        <v>2510</v>
      </c>
      <c r="B2815" s="1" t="s">
        <v>2864</v>
      </c>
      <c r="V2815" s="1">
        <v>11.2</v>
      </c>
      <c r="W2815" s="7"/>
    </row>
    <row r="2816" spans="1:23" x14ac:dyDescent="0.2">
      <c r="A2816" s="1" t="s">
        <v>2510</v>
      </c>
      <c r="B2816" s="1" t="s">
        <v>2865</v>
      </c>
      <c r="V2816" s="1">
        <v>2</v>
      </c>
      <c r="W2816" s="7"/>
    </row>
    <row r="2817" spans="1:23" x14ac:dyDescent="0.2">
      <c r="A2817" s="1" t="s">
        <v>2510</v>
      </c>
      <c r="B2817" s="1" t="s">
        <v>2866</v>
      </c>
      <c r="V2817" s="1">
        <v>1.3</v>
      </c>
      <c r="W2817" s="7"/>
    </row>
    <row r="2818" spans="1:23" x14ac:dyDescent="0.2">
      <c r="A2818" s="1" t="s">
        <v>2510</v>
      </c>
      <c r="B2818" s="1" t="s">
        <v>2867</v>
      </c>
      <c r="V2818" s="1">
        <v>3.1</v>
      </c>
      <c r="W2818" s="7"/>
    </row>
    <row r="2819" spans="1:23" x14ac:dyDescent="0.2">
      <c r="A2819" s="1" t="s">
        <v>2510</v>
      </c>
      <c r="B2819" s="1" t="s">
        <v>2868</v>
      </c>
      <c r="V2819" s="1">
        <v>6.1</v>
      </c>
      <c r="W2819" s="7"/>
    </row>
    <row r="2820" spans="1:23" x14ac:dyDescent="0.2">
      <c r="A2820" s="1" t="s">
        <v>2510</v>
      </c>
      <c r="B2820" s="1" t="s">
        <v>2869</v>
      </c>
      <c r="V2820" s="1">
        <v>3.3</v>
      </c>
      <c r="W2820" s="7"/>
    </row>
    <row r="2821" spans="1:23" x14ac:dyDescent="0.2">
      <c r="A2821" s="1" t="s">
        <v>2510</v>
      </c>
      <c r="B2821" s="1" t="s">
        <v>2870</v>
      </c>
      <c r="V2821" s="1">
        <v>1.2</v>
      </c>
      <c r="W2821" s="7"/>
    </row>
    <row r="2822" spans="1:23" x14ac:dyDescent="0.2">
      <c r="A2822" s="1" t="s">
        <v>2510</v>
      </c>
      <c r="B2822" s="1" t="s">
        <v>2871</v>
      </c>
      <c r="V2822" s="1">
        <v>5.0999999999999996</v>
      </c>
      <c r="W2822" s="7"/>
    </row>
    <row r="2823" spans="1:23" x14ac:dyDescent="0.2">
      <c r="A2823" s="1" t="s">
        <v>2510</v>
      </c>
      <c r="B2823" s="1" t="s">
        <v>2872</v>
      </c>
      <c r="V2823" s="1">
        <v>10.3</v>
      </c>
      <c r="W2823" s="7"/>
    </row>
    <row r="2824" spans="1:23" x14ac:dyDescent="0.2">
      <c r="A2824" s="1" t="s">
        <v>2510</v>
      </c>
      <c r="B2824" s="1" t="s">
        <v>2873</v>
      </c>
      <c r="V2824" s="1">
        <v>15.3</v>
      </c>
      <c r="W2824" s="7"/>
    </row>
    <row r="2825" spans="1:23" x14ac:dyDescent="0.2">
      <c r="A2825" s="1" t="s">
        <v>2510</v>
      </c>
      <c r="B2825" s="1" t="s">
        <v>2874</v>
      </c>
      <c r="V2825" s="1">
        <v>1.3</v>
      </c>
      <c r="W2825" s="7"/>
    </row>
    <row r="2826" spans="1:23" x14ac:dyDescent="0.2">
      <c r="A2826" s="1" t="s">
        <v>2510</v>
      </c>
      <c r="B2826" s="1" t="s">
        <v>2875</v>
      </c>
      <c r="V2826" s="1">
        <v>3</v>
      </c>
      <c r="W2826" s="7"/>
    </row>
    <row r="2827" spans="1:23" x14ac:dyDescent="0.2">
      <c r="A2827" s="1" t="s">
        <v>2510</v>
      </c>
      <c r="B2827" s="1" t="s">
        <v>2876</v>
      </c>
      <c r="V2827" s="1">
        <v>21</v>
      </c>
      <c r="W2827" s="7"/>
    </row>
    <row r="2828" spans="1:23" x14ac:dyDescent="0.2">
      <c r="A2828" s="1" t="s">
        <v>2510</v>
      </c>
      <c r="B2828" s="1" t="s">
        <v>2877</v>
      </c>
      <c r="V2828" s="1">
        <v>0.2</v>
      </c>
      <c r="W2828" s="7"/>
    </row>
    <row r="2829" spans="1:23" x14ac:dyDescent="0.2">
      <c r="A2829" s="1" t="s">
        <v>2510</v>
      </c>
      <c r="B2829" s="1" t="s">
        <v>2878</v>
      </c>
      <c r="V2829" s="1">
        <v>9.1</v>
      </c>
      <c r="W2829" s="7"/>
    </row>
    <row r="2830" spans="1:23" x14ac:dyDescent="0.2">
      <c r="A2830" s="1" t="s">
        <v>2510</v>
      </c>
      <c r="B2830" s="1" t="s">
        <v>2879</v>
      </c>
      <c r="V2830" s="1">
        <v>6.3</v>
      </c>
      <c r="W2830" s="7"/>
    </row>
    <row r="2831" spans="1:23" x14ac:dyDescent="0.2">
      <c r="A2831" s="1" t="s">
        <v>2510</v>
      </c>
      <c r="B2831" s="1" t="s">
        <v>2880</v>
      </c>
      <c r="V2831" s="1">
        <v>8.1999999999999993</v>
      </c>
      <c r="W2831" s="7"/>
    </row>
    <row r="2832" spans="1:23" x14ac:dyDescent="0.2">
      <c r="A2832" s="1" t="s">
        <v>2510</v>
      </c>
      <c r="B2832" s="1" t="s">
        <v>2881</v>
      </c>
      <c r="V2832" s="1">
        <v>7.3</v>
      </c>
      <c r="W2832" s="7"/>
    </row>
    <row r="2833" spans="1:23" x14ac:dyDescent="0.2">
      <c r="A2833" s="1" t="s">
        <v>2510</v>
      </c>
      <c r="B2833" s="1" t="s">
        <v>2882</v>
      </c>
      <c r="V2833" s="1">
        <v>4.0999999999999996</v>
      </c>
      <c r="W2833" s="7"/>
    </row>
    <row r="2834" spans="1:23" x14ac:dyDescent="0.2">
      <c r="A2834" s="1" t="s">
        <v>2510</v>
      </c>
      <c r="B2834" s="1" t="s">
        <v>2883</v>
      </c>
      <c r="R2834" s="1" t="s">
        <v>2818</v>
      </c>
      <c r="S2834" s="1" t="s">
        <v>2884</v>
      </c>
      <c r="T2834" s="1" t="s">
        <v>2885</v>
      </c>
      <c r="U2834" s="1" t="s">
        <v>2886</v>
      </c>
      <c r="V2834" s="1">
        <v>7</v>
      </c>
      <c r="W2834" s="7"/>
    </row>
    <row r="2835" spans="1:23" x14ac:dyDescent="0.2">
      <c r="A2835" s="1" t="s">
        <v>2510</v>
      </c>
      <c r="B2835" s="1" t="s">
        <v>2887</v>
      </c>
      <c r="W2835" s="7"/>
    </row>
    <row r="2836" spans="1:23" x14ac:dyDescent="0.2">
      <c r="A2836" s="1" t="s">
        <v>2510</v>
      </c>
      <c r="B2836" s="1" t="s">
        <v>2888</v>
      </c>
      <c r="U2836" s="1" t="s">
        <v>1078</v>
      </c>
      <c r="V2836" s="1">
        <v>13</v>
      </c>
      <c r="W2836" s="7"/>
    </row>
    <row r="2837" spans="1:23" x14ac:dyDescent="0.2">
      <c r="A2837" s="1" t="s">
        <v>2510</v>
      </c>
      <c r="B2837" s="1" t="s">
        <v>2889</v>
      </c>
      <c r="U2837" s="1" t="s">
        <v>1078</v>
      </c>
      <c r="V2837" s="1">
        <v>8</v>
      </c>
      <c r="W2837" s="7"/>
    </row>
    <row r="2838" spans="1:23" x14ac:dyDescent="0.2">
      <c r="A2838" s="1" t="s">
        <v>2510</v>
      </c>
      <c r="B2838" s="1" t="s">
        <v>2890</v>
      </c>
      <c r="U2838" s="1" t="s">
        <v>1078</v>
      </c>
      <c r="V2838" s="1">
        <v>1.1000000000000001</v>
      </c>
      <c r="W2838" s="7"/>
    </row>
    <row r="2839" spans="1:23" x14ac:dyDescent="0.2">
      <c r="A2839" s="1" t="s">
        <v>2510</v>
      </c>
      <c r="B2839" s="1" t="s">
        <v>2891</v>
      </c>
      <c r="U2839" s="1" t="s">
        <v>1078</v>
      </c>
      <c r="V2839" s="1">
        <v>2.2999999999999998</v>
      </c>
      <c r="W2839" s="7"/>
    </row>
    <row r="2840" spans="1:23" x14ac:dyDescent="0.2">
      <c r="A2840" s="1" t="s">
        <v>2510</v>
      </c>
      <c r="B2840" s="1" t="s">
        <v>2892</v>
      </c>
      <c r="U2840" s="1" t="s">
        <v>1078</v>
      </c>
      <c r="V2840" s="1">
        <v>1</v>
      </c>
      <c r="W2840" s="7"/>
    </row>
    <row r="2841" spans="1:23" x14ac:dyDescent="0.2">
      <c r="A2841" s="1" t="s">
        <v>2510</v>
      </c>
      <c r="B2841" s="1" t="s">
        <v>2893</v>
      </c>
      <c r="U2841" s="1" t="s">
        <v>1078</v>
      </c>
      <c r="V2841" s="1">
        <v>2.2999999999999998</v>
      </c>
      <c r="W2841" s="7"/>
    </row>
    <row r="2842" spans="1:23" x14ac:dyDescent="0.2">
      <c r="A2842" s="1" t="s">
        <v>2510</v>
      </c>
      <c r="B2842" s="1" t="s">
        <v>2894</v>
      </c>
      <c r="U2842" s="1" t="s">
        <v>1078</v>
      </c>
      <c r="V2842" s="1">
        <v>9.1</v>
      </c>
      <c r="W2842" s="7"/>
    </row>
    <row r="2843" spans="1:23" x14ac:dyDescent="0.2">
      <c r="A2843" s="1" t="s">
        <v>2510</v>
      </c>
      <c r="B2843" s="1" t="s">
        <v>2895</v>
      </c>
      <c r="U2843" s="1" t="s">
        <v>1078</v>
      </c>
      <c r="V2843" s="1">
        <v>23.1</v>
      </c>
      <c r="W2843" s="7"/>
    </row>
    <row r="2844" spans="1:23" x14ac:dyDescent="0.2">
      <c r="A2844" s="1" t="s">
        <v>2510</v>
      </c>
      <c r="B2844" s="1" t="s">
        <v>2896</v>
      </c>
      <c r="U2844" s="1" t="s">
        <v>1078</v>
      </c>
      <c r="V2844" s="1">
        <v>5</v>
      </c>
      <c r="W2844" s="7"/>
    </row>
    <row r="2845" spans="1:23" x14ac:dyDescent="0.2">
      <c r="A2845" s="1" t="s">
        <v>2510</v>
      </c>
      <c r="B2845" s="1" t="s">
        <v>2897</v>
      </c>
      <c r="U2845" s="1" t="s">
        <v>1078</v>
      </c>
      <c r="V2845" s="1">
        <v>35.299999999999997</v>
      </c>
      <c r="W2845" s="7"/>
    </row>
    <row r="2846" spans="1:23" x14ac:dyDescent="0.2">
      <c r="A2846" s="1" t="s">
        <v>2510</v>
      </c>
      <c r="B2846" s="1" t="s">
        <v>2898</v>
      </c>
      <c r="U2846" s="1" t="s">
        <v>1078</v>
      </c>
      <c r="V2846" s="1">
        <v>2.2999999999999998</v>
      </c>
      <c r="W2846" s="7"/>
    </row>
    <row r="2847" spans="1:23" x14ac:dyDescent="0.2">
      <c r="A2847" s="1" t="s">
        <v>2510</v>
      </c>
      <c r="B2847" s="1" t="s">
        <v>2899</v>
      </c>
      <c r="U2847" s="1" t="s">
        <v>1078</v>
      </c>
      <c r="V2847" s="1">
        <v>7.2</v>
      </c>
      <c r="W2847" s="7"/>
    </row>
    <row r="2848" spans="1:23" x14ac:dyDescent="0.2">
      <c r="A2848" s="1" t="s">
        <v>2510</v>
      </c>
      <c r="B2848" s="1" t="s">
        <v>2900</v>
      </c>
      <c r="U2848" s="1" t="s">
        <v>1078</v>
      </c>
      <c r="V2848" s="1">
        <v>46.1</v>
      </c>
      <c r="W2848" s="7"/>
    </row>
    <row r="2849" spans="1:26" x14ac:dyDescent="0.2">
      <c r="A2849" s="1" t="s">
        <v>2510</v>
      </c>
      <c r="B2849" s="1" t="s">
        <v>2901</v>
      </c>
      <c r="U2849" s="1" t="s">
        <v>1078</v>
      </c>
      <c r="V2849" s="1">
        <v>23.3</v>
      </c>
      <c r="W2849" s="7"/>
    </row>
    <row r="2850" spans="1:26" x14ac:dyDescent="0.2">
      <c r="A2850" s="1" t="s">
        <v>2510</v>
      </c>
      <c r="B2850" s="1" t="s">
        <v>2902</v>
      </c>
      <c r="U2850" s="1" t="s">
        <v>1078</v>
      </c>
      <c r="V2850" s="1">
        <v>3.1</v>
      </c>
      <c r="W2850" s="7"/>
    </row>
    <row r="2851" spans="1:26" s="7" customFormat="1" x14ac:dyDescent="0.2">
      <c r="A2851" s="1" t="s">
        <v>2510</v>
      </c>
      <c r="B2851" s="1" t="s">
        <v>2903</v>
      </c>
      <c r="C2851" s="1"/>
      <c r="D2851" s="1"/>
      <c r="E2851" s="1"/>
      <c r="F2851" s="1"/>
      <c r="G2851" s="1"/>
      <c r="H2851" s="1"/>
      <c r="I2851" s="1"/>
      <c r="J2851" s="1"/>
      <c r="K2851" s="1"/>
      <c r="L2851" s="1"/>
      <c r="M2851" s="1"/>
      <c r="N2851" s="1"/>
      <c r="O2851" s="1">
        <v>20.100000000000001</v>
      </c>
      <c r="P2851" s="1">
        <v>20.100000000000001</v>
      </c>
      <c r="Q2851" s="1">
        <v>22.3</v>
      </c>
      <c r="R2851" s="1">
        <v>24.3</v>
      </c>
      <c r="S2851" s="1">
        <v>25.3</v>
      </c>
      <c r="T2851" s="1">
        <v>29.2</v>
      </c>
      <c r="U2851" s="1">
        <v>29.2</v>
      </c>
      <c r="V2851" s="1">
        <v>28.1</v>
      </c>
    </row>
    <row r="2852" spans="1:26" x14ac:dyDescent="0.2">
      <c r="A2852" s="1" t="s">
        <v>2510</v>
      </c>
      <c r="B2852" s="1" t="s">
        <v>2904</v>
      </c>
      <c r="O2852" s="1">
        <v>3</v>
      </c>
      <c r="P2852" s="1">
        <v>3</v>
      </c>
      <c r="Q2852" s="1">
        <v>2</v>
      </c>
      <c r="R2852" s="1">
        <v>2</v>
      </c>
      <c r="S2852" s="1">
        <v>2</v>
      </c>
      <c r="T2852" s="1">
        <v>2.1</v>
      </c>
      <c r="U2852" s="1">
        <v>2.1</v>
      </c>
      <c r="V2852" s="1">
        <v>2.1</v>
      </c>
    </row>
    <row r="2853" spans="1:26" x14ac:dyDescent="0.2">
      <c r="A2853" s="1" t="s">
        <v>2510</v>
      </c>
      <c r="B2853" s="1" t="s">
        <v>2905</v>
      </c>
      <c r="V2853" s="1">
        <v>2</v>
      </c>
      <c r="W2853" s="10"/>
      <c r="X2853" s="10"/>
      <c r="Y2853" s="10"/>
      <c r="Z2853" s="10"/>
    </row>
    <row r="2854" spans="1:26" x14ac:dyDescent="0.2">
      <c r="A2854" s="1" t="s">
        <v>2510</v>
      </c>
      <c r="B2854" s="1" t="s">
        <v>2906</v>
      </c>
      <c r="V2854" s="1">
        <v>3.2</v>
      </c>
    </row>
    <row r="2855" spans="1:26" x14ac:dyDescent="0.2">
      <c r="A2855" s="1" t="s">
        <v>2510</v>
      </c>
      <c r="B2855" s="1" t="s">
        <v>2907</v>
      </c>
      <c r="V2855" s="1">
        <v>1.2</v>
      </c>
    </row>
    <row r="2856" spans="1:26" x14ac:dyDescent="0.2">
      <c r="A2856" s="1" t="s">
        <v>2510</v>
      </c>
      <c r="B2856" s="1" t="s">
        <v>2908</v>
      </c>
      <c r="V2856" s="1">
        <v>0.3</v>
      </c>
    </row>
    <row r="2857" spans="1:26" x14ac:dyDescent="0.2">
      <c r="A2857" s="1" t="s">
        <v>2510</v>
      </c>
      <c r="B2857" s="1" t="s">
        <v>2909</v>
      </c>
      <c r="V2857" s="1">
        <v>3.3</v>
      </c>
    </row>
    <row r="2858" spans="1:26" x14ac:dyDescent="0.2">
      <c r="A2858" s="1" t="s">
        <v>2510</v>
      </c>
      <c r="B2858" s="1" t="s">
        <v>2910</v>
      </c>
      <c r="V2858" s="1">
        <v>3.1</v>
      </c>
    </row>
    <row r="2859" spans="1:26" x14ac:dyDescent="0.2">
      <c r="A2859" s="1" t="s">
        <v>2510</v>
      </c>
      <c r="B2859" s="1" t="s">
        <v>2911</v>
      </c>
      <c r="V2859" s="1">
        <v>10</v>
      </c>
    </row>
    <row r="2860" spans="1:26" x14ac:dyDescent="0.2">
      <c r="A2860" s="1" t="s">
        <v>2510</v>
      </c>
      <c r="B2860" s="1" t="s">
        <v>2912</v>
      </c>
      <c r="V2860" s="1">
        <v>0.2</v>
      </c>
    </row>
    <row r="2861" spans="1:26" x14ac:dyDescent="0.2">
      <c r="A2861" s="1" t="s">
        <v>2510</v>
      </c>
      <c r="B2861" s="1" t="s">
        <v>2913</v>
      </c>
      <c r="V2861" s="1">
        <v>0.2</v>
      </c>
    </row>
    <row r="2862" spans="1:26" x14ac:dyDescent="0.2">
      <c r="A2862" s="1" t="s">
        <v>2510</v>
      </c>
      <c r="B2862" s="1" t="s">
        <v>2914</v>
      </c>
      <c r="V2862" s="1">
        <v>2</v>
      </c>
    </row>
    <row r="2863" spans="1:26" x14ac:dyDescent="0.2">
      <c r="A2863" s="1" t="s">
        <v>2510</v>
      </c>
      <c r="B2863" s="1" t="s">
        <v>2915</v>
      </c>
      <c r="W2863" s="7"/>
    </row>
    <row r="2864" spans="1:26" x14ac:dyDescent="0.2">
      <c r="A2864" s="1" t="s">
        <v>2510</v>
      </c>
      <c r="B2864" s="1" t="s">
        <v>2916</v>
      </c>
      <c r="U2864" s="1">
        <v>1</v>
      </c>
      <c r="V2864" s="1">
        <v>1.1000000000000001</v>
      </c>
      <c r="W2864" s="7"/>
    </row>
    <row r="2865" spans="1:23" x14ac:dyDescent="0.2">
      <c r="A2865" s="1" t="s">
        <v>2510</v>
      </c>
      <c r="B2865" s="1" t="s">
        <v>2917</v>
      </c>
      <c r="O2865" s="1" t="s">
        <v>2918</v>
      </c>
      <c r="P2865" s="1" t="s">
        <v>2919</v>
      </c>
      <c r="Q2865" s="1" t="s">
        <v>2919</v>
      </c>
      <c r="R2865" s="1" t="s">
        <v>2920</v>
      </c>
      <c r="S2865" s="1" t="s">
        <v>2919</v>
      </c>
      <c r="T2865" s="1" t="s">
        <v>2918</v>
      </c>
      <c r="U2865" s="1" t="s">
        <v>2921</v>
      </c>
      <c r="V2865" s="1" t="s">
        <v>2918</v>
      </c>
      <c r="W2865" s="7"/>
    </row>
    <row r="2866" spans="1:23" x14ac:dyDescent="0.2">
      <c r="A2866" s="1" t="s">
        <v>2510</v>
      </c>
      <c r="B2866" s="1" t="s">
        <v>2922</v>
      </c>
      <c r="O2866" s="1" t="s">
        <v>2923</v>
      </c>
      <c r="P2866" s="1">
        <v>2</v>
      </c>
      <c r="Q2866" s="1">
        <v>1.1000000000000001</v>
      </c>
      <c r="R2866" s="1">
        <v>1</v>
      </c>
      <c r="S2866" s="1">
        <v>1</v>
      </c>
      <c r="T2866" s="1">
        <v>1.1000000000000001</v>
      </c>
      <c r="U2866" s="1">
        <v>1</v>
      </c>
      <c r="V2866" s="1">
        <v>1</v>
      </c>
      <c r="W2866" s="7"/>
    </row>
    <row r="2867" spans="1:23" x14ac:dyDescent="0.2">
      <c r="A2867" s="1" t="s">
        <v>2510</v>
      </c>
      <c r="B2867" s="1" t="s">
        <v>2924</v>
      </c>
      <c r="O2867" s="1" t="s">
        <v>2925</v>
      </c>
      <c r="P2867" s="1">
        <v>16.3</v>
      </c>
      <c r="Q2867" s="1">
        <v>18</v>
      </c>
      <c r="R2867" s="1">
        <v>15.2</v>
      </c>
      <c r="S2867" s="1">
        <v>17.2</v>
      </c>
      <c r="T2867" s="1">
        <v>23.3</v>
      </c>
      <c r="U2867" s="1">
        <v>15.2</v>
      </c>
      <c r="V2867" s="1">
        <v>8.3000000000000007</v>
      </c>
      <c r="W2867" s="7"/>
    </row>
    <row r="2868" spans="1:23" x14ac:dyDescent="0.2">
      <c r="A2868" s="1" t="s">
        <v>2510</v>
      </c>
      <c r="B2868" s="1" t="s">
        <v>2926</v>
      </c>
      <c r="W2868" s="7"/>
    </row>
    <row r="2869" spans="1:23" x14ac:dyDescent="0.2">
      <c r="A2869" s="1" t="s">
        <v>2510</v>
      </c>
      <c r="B2869" s="1" t="s">
        <v>2927</v>
      </c>
      <c r="O2869" s="1">
        <v>16</v>
      </c>
      <c r="P2869" s="1">
        <v>18.2</v>
      </c>
      <c r="Q2869" s="1">
        <v>22</v>
      </c>
      <c r="R2869" s="1">
        <v>23.2</v>
      </c>
      <c r="S2869" s="1">
        <v>26.2</v>
      </c>
      <c r="T2869" s="1">
        <v>26.2</v>
      </c>
      <c r="U2869" s="1">
        <v>29.3</v>
      </c>
      <c r="V2869" s="1">
        <v>26.3</v>
      </c>
      <c r="W2869" s="7"/>
    </row>
    <row r="2870" spans="1:23" x14ac:dyDescent="0.2">
      <c r="A2870" s="1" t="s">
        <v>2510</v>
      </c>
      <c r="B2870" s="1" t="s">
        <v>2928</v>
      </c>
      <c r="O2870" s="1">
        <v>4.3</v>
      </c>
      <c r="P2870" s="1">
        <v>10.199999999999999</v>
      </c>
      <c r="Q2870" s="1">
        <v>10.1</v>
      </c>
      <c r="R2870" s="1">
        <v>12.1</v>
      </c>
      <c r="S2870" s="1">
        <v>17.100000000000001</v>
      </c>
      <c r="T2870" s="1">
        <v>15</v>
      </c>
      <c r="U2870" s="1">
        <v>20.3</v>
      </c>
      <c r="V2870" s="1">
        <v>21.1</v>
      </c>
      <c r="W2870" s="7"/>
    </row>
    <row r="2871" spans="1:23" x14ac:dyDescent="0.2">
      <c r="A2871" s="1" t="s">
        <v>2510</v>
      </c>
      <c r="B2871" s="1" t="s">
        <v>2929</v>
      </c>
      <c r="O2871" s="1">
        <v>3.2</v>
      </c>
      <c r="P2871" s="1">
        <v>4.0999999999999996</v>
      </c>
      <c r="Q2871" s="1">
        <v>4.0999999999999996</v>
      </c>
      <c r="R2871" s="1">
        <v>3.2</v>
      </c>
      <c r="S2871" s="1">
        <v>3.3</v>
      </c>
      <c r="T2871" s="1">
        <v>6.1</v>
      </c>
      <c r="U2871" s="1">
        <v>8</v>
      </c>
      <c r="V2871" s="1">
        <v>12.2</v>
      </c>
      <c r="W2871" s="7"/>
    </row>
    <row r="2872" spans="1:23" x14ac:dyDescent="0.2">
      <c r="A2872" s="1" t="s">
        <v>2510</v>
      </c>
      <c r="B2872" s="1" t="s">
        <v>2930</v>
      </c>
      <c r="T2872" s="1" t="s">
        <v>1078</v>
      </c>
      <c r="U2872" s="1">
        <v>8</v>
      </c>
      <c r="V2872" s="1">
        <v>8.3000000000000007</v>
      </c>
      <c r="W2872" s="7"/>
    </row>
    <row r="2873" spans="1:23" x14ac:dyDescent="0.2">
      <c r="A2873" s="1" t="s">
        <v>2510</v>
      </c>
      <c r="B2873" s="1" t="s">
        <v>2931</v>
      </c>
      <c r="O2873" s="1">
        <v>15.2</v>
      </c>
      <c r="P2873" s="1">
        <v>18</v>
      </c>
      <c r="Q2873" s="1">
        <v>10.1</v>
      </c>
      <c r="R2873" s="1">
        <v>6</v>
      </c>
      <c r="S2873" s="1">
        <v>5.3</v>
      </c>
      <c r="T2873" s="1">
        <v>6.3</v>
      </c>
      <c r="U2873" s="1">
        <v>7</v>
      </c>
      <c r="V2873" s="1">
        <v>8.1</v>
      </c>
      <c r="W2873" s="7"/>
    </row>
    <row r="2874" spans="1:23" x14ac:dyDescent="0.2">
      <c r="A2874" s="1" t="s">
        <v>2510</v>
      </c>
      <c r="B2874" s="1" t="s">
        <v>2932</v>
      </c>
      <c r="O2874" s="1">
        <v>24</v>
      </c>
      <c r="P2874" s="1">
        <v>24.3</v>
      </c>
      <c r="Q2874" s="1">
        <v>12</v>
      </c>
      <c r="R2874" s="1">
        <v>8.1999999999999993</v>
      </c>
      <c r="S2874" s="1">
        <v>8</v>
      </c>
      <c r="T2874" s="1">
        <v>10</v>
      </c>
      <c r="U2874" s="1">
        <v>13.2</v>
      </c>
      <c r="V2874" s="1">
        <v>13</v>
      </c>
      <c r="W2874" s="7"/>
    </row>
    <row r="2875" spans="1:23" x14ac:dyDescent="0.2">
      <c r="A2875" s="1" t="s">
        <v>2510</v>
      </c>
      <c r="B2875" s="1" t="s">
        <v>2933</v>
      </c>
      <c r="O2875" s="1">
        <v>1.1000000000000001</v>
      </c>
      <c r="P2875" s="1">
        <v>3</v>
      </c>
      <c r="Q2875" s="1">
        <v>2.1</v>
      </c>
      <c r="R2875" s="1">
        <v>4.2</v>
      </c>
      <c r="S2875" s="1">
        <v>5</v>
      </c>
      <c r="T2875" s="1">
        <v>4.0999999999999996</v>
      </c>
      <c r="U2875" s="1">
        <v>3.2</v>
      </c>
      <c r="V2875" s="1">
        <v>3.3</v>
      </c>
      <c r="W2875" s="7"/>
    </row>
    <row r="2876" spans="1:23" x14ac:dyDescent="0.2">
      <c r="A2876" s="1" t="s">
        <v>2510</v>
      </c>
      <c r="B2876" s="1" t="s">
        <v>2934</v>
      </c>
      <c r="T2876" s="1">
        <v>6.3</v>
      </c>
      <c r="U2876" s="1">
        <v>5.2</v>
      </c>
      <c r="V2876" s="1">
        <v>6.2</v>
      </c>
      <c r="W2876" s="7"/>
    </row>
    <row r="2877" spans="1:23" x14ac:dyDescent="0.2">
      <c r="A2877" s="1" t="s">
        <v>2510</v>
      </c>
      <c r="B2877" s="1" t="s">
        <v>2935</v>
      </c>
      <c r="W2877" s="7"/>
    </row>
    <row r="2878" spans="1:23" x14ac:dyDescent="0.2">
      <c r="A2878" s="1" t="s">
        <v>2510</v>
      </c>
      <c r="B2878" s="1" t="s">
        <v>2936</v>
      </c>
      <c r="O2878" s="1">
        <v>2</v>
      </c>
      <c r="P2878" s="1">
        <v>4</v>
      </c>
      <c r="Q2878" s="1">
        <v>3.3</v>
      </c>
      <c r="R2878" s="1">
        <v>4.0999999999999996</v>
      </c>
      <c r="S2878" s="1">
        <v>4.2</v>
      </c>
      <c r="T2878" s="1">
        <v>4.3</v>
      </c>
      <c r="U2878" s="1">
        <v>5</v>
      </c>
      <c r="V2878" s="1">
        <v>5</v>
      </c>
      <c r="W2878" s="7"/>
    </row>
    <row r="2879" spans="1:23" x14ac:dyDescent="0.2">
      <c r="A2879" s="1" t="s">
        <v>2510</v>
      </c>
      <c r="B2879" s="1" t="s">
        <v>2937</v>
      </c>
      <c r="W2879" s="7"/>
    </row>
    <row r="2880" spans="1:23" x14ac:dyDescent="0.2">
      <c r="A2880" s="1" t="s">
        <v>2510</v>
      </c>
      <c r="B2880" s="1" t="s">
        <v>2938</v>
      </c>
      <c r="O2880" s="1">
        <v>0.3</v>
      </c>
      <c r="P2880" s="1">
        <v>1.3</v>
      </c>
      <c r="Q2880" s="1">
        <v>3.1</v>
      </c>
      <c r="R2880" s="1">
        <v>0.3</v>
      </c>
      <c r="S2880" s="1">
        <v>0.3</v>
      </c>
      <c r="T2880" s="1">
        <v>0.3</v>
      </c>
      <c r="U2880" s="1">
        <v>0.3</v>
      </c>
      <c r="V2880" s="1">
        <v>0.3</v>
      </c>
      <c r="W2880" s="7"/>
    </row>
    <row r="2881" spans="1:23" x14ac:dyDescent="0.2">
      <c r="A2881" s="1" t="s">
        <v>2510</v>
      </c>
      <c r="B2881" s="1" t="s">
        <v>2939</v>
      </c>
      <c r="U2881" s="1" t="s">
        <v>1078</v>
      </c>
      <c r="V2881" s="1">
        <v>5</v>
      </c>
      <c r="W2881" s="7"/>
    </row>
    <row r="2882" spans="1:23" x14ac:dyDescent="0.2">
      <c r="A2882" s="1" t="s">
        <v>2510</v>
      </c>
      <c r="B2882" s="1" t="s">
        <v>2940</v>
      </c>
      <c r="V2882" s="1">
        <v>6.2</v>
      </c>
      <c r="W2882" s="7"/>
    </row>
    <row r="2883" spans="1:23" x14ac:dyDescent="0.2">
      <c r="A2883" s="1" t="s">
        <v>2510</v>
      </c>
      <c r="B2883" s="1" t="s">
        <v>2941</v>
      </c>
      <c r="V2883" s="1">
        <v>5.0999999999999996</v>
      </c>
      <c r="W2883" s="7"/>
    </row>
    <row r="2884" spans="1:23" x14ac:dyDescent="0.2">
      <c r="A2884" s="1" t="s">
        <v>2510</v>
      </c>
      <c r="B2884" s="1" t="s">
        <v>2942</v>
      </c>
      <c r="V2884" s="1">
        <v>7.2</v>
      </c>
      <c r="W2884" s="7"/>
    </row>
    <row r="2885" spans="1:23" x14ac:dyDescent="0.2">
      <c r="A2885" s="1" t="s">
        <v>2510</v>
      </c>
      <c r="B2885" s="1" t="s">
        <v>2943</v>
      </c>
      <c r="V2885" s="1">
        <v>6.4</v>
      </c>
      <c r="W2885" s="7"/>
    </row>
    <row r="2886" spans="1:23" x14ac:dyDescent="0.2">
      <c r="A2886" s="1" t="s">
        <v>2510</v>
      </c>
      <c r="B2886" s="1" t="s">
        <v>2944</v>
      </c>
      <c r="V2886" s="1">
        <v>1.3</v>
      </c>
      <c r="W2886" s="7"/>
    </row>
    <row r="2887" spans="1:23" x14ac:dyDescent="0.2">
      <c r="A2887" s="1" t="s">
        <v>2510</v>
      </c>
      <c r="B2887" s="1" t="s">
        <v>2945</v>
      </c>
      <c r="V2887" s="1">
        <v>2.1</v>
      </c>
      <c r="W2887" s="7"/>
    </row>
    <row r="2888" spans="1:23" x14ac:dyDescent="0.2">
      <c r="A2888" s="1" t="s">
        <v>2510</v>
      </c>
      <c r="B2888" s="1" t="s">
        <v>2946</v>
      </c>
      <c r="V2888" s="1">
        <v>4.0999999999999996</v>
      </c>
      <c r="W2888" s="7"/>
    </row>
    <row r="2889" spans="1:23" x14ac:dyDescent="0.2">
      <c r="A2889" s="1" t="s">
        <v>2510</v>
      </c>
      <c r="B2889" s="1" t="s">
        <v>2947</v>
      </c>
      <c r="V2889" s="1">
        <v>5.0999999999999996</v>
      </c>
      <c r="W2889" s="7"/>
    </row>
    <row r="2890" spans="1:23" x14ac:dyDescent="0.2">
      <c r="A2890" s="1" t="s">
        <v>2510</v>
      </c>
      <c r="B2890" s="1" t="s">
        <v>2948</v>
      </c>
      <c r="V2890" s="1">
        <v>4.2</v>
      </c>
      <c r="W2890" s="7"/>
    </row>
    <row r="2891" spans="1:23" x14ac:dyDescent="0.2">
      <c r="A2891" s="1" t="s">
        <v>2510</v>
      </c>
      <c r="B2891" s="1" t="s">
        <v>2949</v>
      </c>
      <c r="V2891" s="1">
        <v>2</v>
      </c>
      <c r="W2891" s="7"/>
    </row>
    <row r="2892" spans="1:23" x14ac:dyDescent="0.2">
      <c r="A2892" s="1" t="s">
        <v>2510</v>
      </c>
      <c r="B2892" s="1" t="s">
        <v>2950</v>
      </c>
      <c r="O2892" s="1">
        <v>7.2</v>
      </c>
      <c r="P2892" s="1">
        <v>5.2</v>
      </c>
      <c r="Q2892" s="1">
        <v>5.3</v>
      </c>
      <c r="R2892" s="1">
        <v>7.1</v>
      </c>
      <c r="S2892" s="1">
        <v>9.1999999999999993</v>
      </c>
      <c r="T2892" s="1">
        <v>9</v>
      </c>
      <c r="U2892" s="1">
        <v>9.1</v>
      </c>
      <c r="V2892" s="1">
        <v>6</v>
      </c>
      <c r="W2892" s="7"/>
    </row>
    <row r="2893" spans="1:23" x14ac:dyDescent="0.2">
      <c r="A2893" s="1" t="s">
        <v>2510</v>
      </c>
      <c r="B2893" s="1" t="s">
        <v>2951</v>
      </c>
      <c r="V2893" s="1">
        <v>5.3</v>
      </c>
      <c r="W2893" s="7"/>
    </row>
    <row r="2894" spans="1:23" x14ac:dyDescent="0.2">
      <c r="A2894" s="1" t="s">
        <v>2510</v>
      </c>
      <c r="B2894" s="1" t="s">
        <v>2952</v>
      </c>
      <c r="V2894" s="1">
        <v>5.2</v>
      </c>
      <c r="W2894" s="7"/>
    </row>
    <row r="2895" spans="1:23" x14ac:dyDescent="0.2">
      <c r="A2895" s="1" t="s">
        <v>2510</v>
      </c>
      <c r="B2895" s="1" t="s">
        <v>2953</v>
      </c>
      <c r="V2895" s="1">
        <v>5.0999999999999996</v>
      </c>
      <c r="W2895" s="7"/>
    </row>
    <row r="2896" spans="1:23" x14ac:dyDescent="0.2">
      <c r="A2896" s="1" t="s">
        <v>2510</v>
      </c>
      <c r="B2896" s="1" t="s">
        <v>2954</v>
      </c>
      <c r="V2896" s="1">
        <v>8.3000000000000007</v>
      </c>
      <c r="W2896" s="7"/>
    </row>
    <row r="2897" spans="1:23" x14ac:dyDescent="0.2">
      <c r="A2897" s="1" t="s">
        <v>2510</v>
      </c>
      <c r="B2897" s="1" t="s">
        <v>2955</v>
      </c>
      <c r="O2897" s="1">
        <v>7.3</v>
      </c>
      <c r="P2897" s="1">
        <v>9.3000000000000007</v>
      </c>
      <c r="Q2897" s="1">
        <v>11.1</v>
      </c>
      <c r="R2897" s="1">
        <v>12.2</v>
      </c>
      <c r="S2897" s="1">
        <v>11.1</v>
      </c>
      <c r="T2897" s="1">
        <v>10.1</v>
      </c>
      <c r="U2897" s="1">
        <v>8.3000000000000007</v>
      </c>
      <c r="V2897" s="1">
        <v>11.2</v>
      </c>
      <c r="W2897" s="7"/>
    </row>
    <row r="2898" spans="1:23" x14ac:dyDescent="0.2">
      <c r="A2898" s="1" t="s">
        <v>2510</v>
      </c>
      <c r="B2898" s="1" t="s">
        <v>2956</v>
      </c>
      <c r="P2898" s="1">
        <v>2</v>
      </c>
      <c r="Q2898" s="1">
        <v>2</v>
      </c>
      <c r="R2898" s="1">
        <v>1.2</v>
      </c>
      <c r="S2898" s="1">
        <v>1</v>
      </c>
      <c r="T2898" s="1">
        <v>1.1000000000000001</v>
      </c>
      <c r="U2898" s="1">
        <v>2</v>
      </c>
      <c r="W2898" s="7"/>
    </row>
    <row r="2899" spans="1:23" x14ac:dyDescent="0.2">
      <c r="A2899" s="1" t="s">
        <v>2510</v>
      </c>
      <c r="B2899" s="1" t="s">
        <v>2957</v>
      </c>
      <c r="O2899" s="1">
        <v>3</v>
      </c>
      <c r="P2899" s="1">
        <v>2</v>
      </c>
      <c r="Q2899" s="1">
        <v>2</v>
      </c>
      <c r="R2899" s="1">
        <v>1.2</v>
      </c>
      <c r="S2899" s="1">
        <v>1</v>
      </c>
      <c r="U2899" s="1" t="s">
        <v>2958</v>
      </c>
      <c r="V2899" s="1">
        <v>1.1000000000000001</v>
      </c>
      <c r="W2899" s="7"/>
    </row>
    <row r="2900" spans="1:23" x14ac:dyDescent="0.2">
      <c r="A2900" s="1" t="s">
        <v>2510</v>
      </c>
      <c r="B2900" s="1" t="s">
        <v>2959</v>
      </c>
      <c r="O2900" s="1">
        <v>5.0999999999999996</v>
      </c>
      <c r="P2900" s="1">
        <v>2.2000000000000002</v>
      </c>
      <c r="Q2900" s="1">
        <v>3.3</v>
      </c>
      <c r="R2900" s="1">
        <v>3.2</v>
      </c>
      <c r="S2900" s="1">
        <v>3.3</v>
      </c>
      <c r="T2900" s="1">
        <v>3.3</v>
      </c>
      <c r="U2900" s="1">
        <v>8.1</v>
      </c>
      <c r="V2900" s="1">
        <v>2</v>
      </c>
      <c r="W2900" s="7"/>
    </row>
    <row r="2901" spans="1:23" x14ac:dyDescent="0.2">
      <c r="A2901" s="1" t="s">
        <v>2510</v>
      </c>
      <c r="B2901" s="1" t="s">
        <v>2960</v>
      </c>
      <c r="W2901" s="7"/>
    </row>
    <row r="2902" spans="1:23" x14ac:dyDescent="0.2">
      <c r="A2902" s="1" t="s">
        <v>2510</v>
      </c>
      <c r="B2902" s="1" t="s">
        <v>2961</v>
      </c>
      <c r="O2902" s="1">
        <v>1.2</v>
      </c>
      <c r="P2902" s="1">
        <v>1.1000000000000001</v>
      </c>
      <c r="Q2902" s="1">
        <v>1.1000000000000001</v>
      </c>
      <c r="R2902" s="1">
        <v>1.1000000000000001</v>
      </c>
      <c r="S2902" s="1">
        <v>1.1000000000000001</v>
      </c>
      <c r="T2902" s="1">
        <v>1</v>
      </c>
      <c r="U2902" s="1">
        <v>1.1000000000000001</v>
      </c>
      <c r="V2902" s="1">
        <v>1.3</v>
      </c>
      <c r="W2902" s="7"/>
    </row>
    <row r="2903" spans="1:23" x14ac:dyDescent="0.2">
      <c r="A2903" s="1" t="s">
        <v>2510</v>
      </c>
      <c r="B2903" s="1" t="s">
        <v>2962</v>
      </c>
      <c r="W2903" s="7"/>
    </row>
    <row r="2904" spans="1:23" x14ac:dyDescent="0.2">
      <c r="A2904" s="1" t="s">
        <v>2510</v>
      </c>
      <c r="B2904" s="1" t="s">
        <v>2963</v>
      </c>
      <c r="W2904" s="7"/>
    </row>
    <row r="2905" spans="1:23" x14ac:dyDescent="0.2">
      <c r="A2905" s="1" t="s">
        <v>2510</v>
      </c>
      <c r="B2905" s="1" t="s">
        <v>2964</v>
      </c>
      <c r="V2905" s="1">
        <v>0</v>
      </c>
      <c r="W2905" s="7"/>
    </row>
    <row r="2906" spans="1:23" x14ac:dyDescent="0.2">
      <c r="A2906" s="1" t="s">
        <v>2510</v>
      </c>
      <c r="B2906" s="1" t="s">
        <v>2965</v>
      </c>
      <c r="N2906" s="1" t="s">
        <v>1078</v>
      </c>
      <c r="O2906" s="1" t="s">
        <v>1078</v>
      </c>
      <c r="P2906" s="1" t="s">
        <v>1078</v>
      </c>
      <c r="Q2906" s="1">
        <v>7.2</v>
      </c>
      <c r="R2906" s="1">
        <v>12.1</v>
      </c>
      <c r="S2906" s="1">
        <v>4.3</v>
      </c>
      <c r="T2906" s="1">
        <v>12.3</v>
      </c>
      <c r="U2906" s="1">
        <v>2.2999999999999998</v>
      </c>
      <c r="V2906" s="1">
        <v>4</v>
      </c>
      <c r="W2906" s="7"/>
    </row>
    <row r="2907" spans="1:23" x14ac:dyDescent="0.2">
      <c r="A2907" s="1" t="s">
        <v>2510</v>
      </c>
      <c r="B2907" s="1" t="s">
        <v>2966</v>
      </c>
      <c r="N2907" s="1" t="s">
        <v>1078</v>
      </c>
      <c r="O2907" s="1" t="s">
        <v>1078</v>
      </c>
      <c r="P2907" s="1" t="s">
        <v>1078</v>
      </c>
      <c r="Q2907" s="1">
        <v>8.1999999999999993</v>
      </c>
      <c r="R2907" s="1">
        <v>15.1</v>
      </c>
      <c r="S2907" s="1">
        <v>7.3</v>
      </c>
      <c r="T2907" s="1">
        <v>11.1</v>
      </c>
      <c r="U2907" s="1">
        <v>2.2000000000000002</v>
      </c>
      <c r="V2907" s="1">
        <v>2.1</v>
      </c>
      <c r="W2907" s="7"/>
    </row>
    <row r="2908" spans="1:23" x14ac:dyDescent="0.2">
      <c r="A2908" s="1" t="s">
        <v>2510</v>
      </c>
      <c r="B2908" s="1" t="s">
        <v>2967</v>
      </c>
      <c r="N2908" s="1" t="s">
        <v>1078</v>
      </c>
      <c r="O2908" s="1" t="s">
        <v>1078</v>
      </c>
      <c r="P2908" s="1" t="s">
        <v>1078</v>
      </c>
      <c r="U2908" s="1">
        <v>0.1</v>
      </c>
      <c r="V2908" s="1">
        <v>0.1</v>
      </c>
      <c r="W2908" s="7"/>
    </row>
    <row r="2909" spans="1:23" x14ac:dyDescent="0.2">
      <c r="A2909" s="1" t="s">
        <v>2510</v>
      </c>
      <c r="B2909" s="1" t="s">
        <v>2968</v>
      </c>
      <c r="N2909" s="1" t="s">
        <v>1078</v>
      </c>
      <c r="O2909" s="1" t="s">
        <v>1078</v>
      </c>
      <c r="P2909" s="1" t="s">
        <v>1078</v>
      </c>
      <c r="Q2909" s="1">
        <v>7.3</v>
      </c>
      <c r="R2909" s="1">
        <v>13.1</v>
      </c>
      <c r="S2909" s="1">
        <v>4.0999999999999996</v>
      </c>
      <c r="T2909" s="1">
        <v>12</v>
      </c>
      <c r="U2909" s="1">
        <v>3</v>
      </c>
      <c r="V2909" s="1">
        <v>4.3</v>
      </c>
      <c r="W2909" s="7"/>
    </row>
    <row r="2910" spans="1:23" x14ac:dyDescent="0.2">
      <c r="A2910" s="1" t="s">
        <v>2510</v>
      </c>
      <c r="B2910" s="1" t="s">
        <v>2969</v>
      </c>
      <c r="N2910" s="1" t="s">
        <v>1078</v>
      </c>
      <c r="O2910" s="1" t="s">
        <v>1078</v>
      </c>
      <c r="P2910" s="1" t="s">
        <v>1078</v>
      </c>
      <c r="T2910" s="1">
        <v>5</v>
      </c>
      <c r="U2910" s="1">
        <v>2.2000000000000002</v>
      </c>
      <c r="V2910" s="1">
        <v>0.1</v>
      </c>
      <c r="W2910" s="7"/>
    </row>
    <row r="2911" spans="1:23" x14ac:dyDescent="0.2">
      <c r="A2911" s="1" t="s">
        <v>2510</v>
      </c>
      <c r="B2911" s="1" t="s">
        <v>2970</v>
      </c>
      <c r="N2911" s="1" t="s">
        <v>1078</v>
      </c>
      <c r="O2911" s="1" t="s">
        <v>1078</v>
      </c>
      <c r="P2911" s="1" t="s">
        <v>1078</v>
      </c>
      <c r="T2911" s="1">
        <v>5</v>
      </c>
      <c r="U2911" s="1">
        <v>3.3</v>
      </c>
      <c r="V2911" s="1">
        <v>16.3</v>
      </c>
      <c r="W2911" s="7"/>
    </row>
    <row r="2912" spans="1:23" x14ac:dyDescent="0.2">
      <c r="A2912" s="1" t="s">
        <v>2510</v>
      </c>
      <c r="B2912" s="1" t="s">
        <v>2971</v>
      </c>
      <c r="N2912" s="1" t="s">
        <v>1078</v>
      </c>
      <c r="O2912" s="1" t="s">
        <v>1078</v>
      </c>
      <c r="P2912" s="1" t="s">
        <v>1078</v>
      </c>
      <c r="R2912" s="1">
        <v>3.2</v>
      </c>
      <c r="S2912" s="1">
        <v>0.1</v>
      </c>
      <c r="T2912" s="1">
        <v>0.2</v>
      </c>
      <c r="U2912" s="1">
        <v>1.3</v>
      </c>
      <c r="V2912" s="1">
        <v>0.2</v>
      </c>
      <c r="W2912" s="7"/>
    </row>
    <row r="2913" spans="1:23" x14ac:dyDescent="0.2">
      <c r="A2913" s="1" t="s">
        <v>2510</v>
      </c>
      <c r="B2913" s="1" t="s">
        <v>2972</v>
      </c>
      <c r="N2913" s="1" t="s">
        <v>1078</v>
      </c>
      <c r="O2913" s="1" t="s">
        <v>1078</v>
      </c>
      <c r="P2913" s="1" t="s">
        <v>1078</v>
      </c>
      <c r="Q2913" s="1">
        <v>3.3</v>
      </c>
      <c r="R2913" s="1">
        <v>5.3</v>
      </c>
      <c r="S2913" s="1">
        <v>1.3</v>
      </c>
      <c r="T2913" s="1">
        <v>11.3</v>
      </c>
      <c r="U2913" s="1">
        <v>1.3</v>
      </c>
      <c r="V2913" s="1">
        <v>3.3</v>
      </c>
      <c r="W2913" s="7"/>
    </row>
    <row r="2914" spans="1:23" x14ac:dyDescent="0.2">
      <c r="A2914" s="1" t="s">
        <v>2510</v>
      </c>
      <c r="B2914" s="1" t="s">
        <v>2973</v>
      </c>
      <c r="N2914" s="1" t="s">
        <v>1078</v>
      </c>
      <c r="O2914" s="1" t="s">
        <v>1078</v>
      </c>
      <c r="P2914" s="1" t="s">
        <v>1078</v>
      </c>
      <c r="Q2914" s="1">
        <v>0.2</v>
      </c>
      <c r="R2914" s="1">
        <v>4</v>
      </c>
      <c r="S2914" s="1">
        <v>5.2</v>
      </c>
      <c r="T2914" s="1">
        <v>17.2</v>
      </c>
      <c r="U2914" s="1">
        <v>3.3</v>
      </c>
      <c r="V2914" s="1">
        <v>2.2999999999999998</v>
      </c>
      <c r="W2914" s="7"/>
    </row>
    <row r="2915" spans="1:23" x14ac:dyDescent="0.2">
      <c r="A2915" s="1" t="s">
        <v>2510</v>
      </c>
      <c r="B2915" s="1" t="s">
        <v>2974</v>
      </c>
      <c r="N2915" s="1" t="s">
        <v>1078</v>
      </c>
      <c r="O2915" s="1" t="s">
        <v>1078</v>
      </c>
      <c r="P2915" s="1" t="s">
        <v>1078</v>
      </c>
      <c r="Q2915" s="1">
        <v>28.1</v>
      </c>
      <c r="R2915" s="1">
        <v>2.1</v>
      </c>
      <c r="S2915" s="1">
        <v>0.2</v>
      </c>
      <c r="T2915" s="1">
        <v>4.0999999999999996</v>
      </c>
      <c r="U2915" s="1">
        <v>1.2</v>
      </c>
      <c r="V2915" s="1">
        <v>0.2</v>
      </c>
      <c r="W2915" s="7"/>
    </row>
    <row r="2916" spans="1:23" x14ac:dyDescent="0.2">
      <c r="A2916" s="1" t="s">
        <v>2510</v>
      </c>
      <c r="B2916" s="1" t="s">
        <v>2975</v>
      </c>
      <c r="N2916" s="1" t="s">
        <v>1078</v>
      </c>
      <c r="O2916" s="1" t="s">
        <v>1078</v>
      </c>
      <c r="P2916" s="1" t="s">
        <v>1078</v>
      </c>
      <c r="Q2916" s="1">
        <v>6.1</v>
      </c>
      <c r="R2916" s="1">
        <v>11.3</v>
      </c>
      <c r="S2916" s="1">
        <v>6.3</v>
      </c>
      <c r="T2916" s="1">
        <v>16</v>
      </c>
      <c r="U2916" s="1">
        <v>2</v>
      </c>
      <c r="V2916" s="1">
        <v>3.3</v>
      </c>
      <c r="W2916" s="7"/>
    </row>
    <row r="2917" spans="1:23" x14ac:dyDescent="0.2">
      <c r="A2917" s="1" t="s">
        <v>2510</v>
      </c>
      <c r="B2917" s="1" t="s">
        <v>2976</v>
      </c>
      <c r="N2917" s="1" t="s">
        <v>1078</v>
      </c>
      <c r="O2917" s="1" t="s">
        <v>1078</v>
      </c>
      <c r="P2917" s="1" t="s">
        <v>1078</v>
      </c>
      <c r="T2917" s="1">
        <v>6.1</v>
      </c>
      <c r="U2917" s="1">
        <v>0.1</v>
      </c>
      <c r="V2917" s="1">
        <v>5.2</v>
      </c>
      <c r="W2917" s="7"/>
    </row>
    <row r="2918" spans="1:23" x14ac:dyDescent="0.2">
      <c r="A2918" s="1" t="s">
        <v>2510</v>
      </c>
      <c r="B2918" s="1" t="s">
        <v>2977</v>
      </c>
      <c r="N2918" s="1" t="s">
        <v>1078</v>
      </c>
      <c r="O2918" s="1" t="s">
        <v>1078</v>
      </c>
      <c r="P2918" s="1" t="s">
        <v>1078</v>
      </c>
      <c r="V2918" s="1">
        <v>1</v>
      </c>
      <c r="W2918" s="7"/>
    </row>
    <row r="2919" spans="1:23" x14ac:dyDescent="0.2">
      <c r="A2919" s="1" t="s">
        <v>2510</v>
      </c>
      <c r="B2919" s="1" t="s">
        <v>2978</v>
      </c>
      <c r="N2919" s="1" t="s">
        <v>1078</v>
      </c>
      <c r="O2919" s="1" t="s">
        <v>1078</v>
      </c>
      <c r="P2919" s="1" t="s">
        <v>1078</v>
      </c>
      <c r="Q2919" s="1">
        <v>7</v>
      </c>
      <c r="R2919" s="1">
        <v>6</v>
      </c>
      <c r="S2919" s="1">
        <v>3.3</v>
      </c>
      <c r="T2919" s="1">
        <v>15.1</v>
      </c>
      <c r="V2919" s="1">
        <v>0.1</v>
      </c>
      <c r="W2919" s="7"/>
    </row>
    <row r="2920" spans="1:23" x14ac:dyDescent="0.2">
      <c r="A2920" s="1" t="s">
        <v>2510</v>
      </c>
      <c r="B2920" s="1" t="s">
        <v>2979</v>
      </c>
      <c r="V2920" s="1">
        <v>0</v>
      </c>
      <c r="W2920" s="7"/>
    </row>
    <row r="2921" spans="1:23" x14ac:dyDescent="0.2">
      <c r="A2921" s="1" t="s">
        <v>2510</v>
      </c>
      <c r="B2921" s="1" t="s">
        <v>2980</v>
      </c>
      <c r="W2921" s="7"/>
    </row>
    <row r="2922" spans="1:23" x14ac:dyDescent="0.2">
      <c r="A2922" s="1" t="s">
        <v>2510</v>
      </c>
      <c r="B2922" s="1" t="s">
        <v>2981</v>
      </c>
      <c r="W2922" s="7"/>
    </row>
    <row r="2923" spans="1:23" x14ac:dyDescent="0.2">
      <c r="A2923" s="1" t="s">
        <v>2510</v>
      </c>
      <c r="B2923" s="1" t="s">
        <v>2982</v>
      </c>
      <c r="V2923" s="1" t="s">
        <v>1078</v>
      </c>
      <c r="W2923" s="7"/>
    </row>
    <row r="2924" spans="1:23" x14ac:dyDescent="0.2">
      <c r="A2924" s="1" t="s">
        <v>2510</v>
      </c>
      <c r="B2924" s="1" t="s">
        <v>2983</v>
      </c>
      <c r="V2924" s="1" t="s">
        <v>1078</v>
      </c>
      <c r="W2924" s="7"/>
    </row>
    <row r="2925" spans="1:23" x14ac:dyDescent="0.2">
      <c r="A2925" s="1" t="s">
        <v>2510</v>
      </c>
      <c r="B2925" s="1" t="s">
        <v>2984</v>
      </c>
      <c r="W2925" s="7"/>
    </row>
    <row r="2926" spans="1:23" s="7" customFormat="1" x14ac:dyDescent="0.2">
      <c r="A2926" s="1" t="s">
        <v>2510</v>
      </c>
      <c r="B2926" s="1" t="s">
        <v>2985</v>
      </c>
      <c r="C2926" s="1"/>
      <c r="D2926" s="1"/>
      <c r="E2926" s="1"/>
      <c r="F2926" s="1"/>
      <c r="G2926" s="1"/>
      <c r="H2926" s="1"/>
      <c r="I2926" s="1"/>
      <c r="J2926" s="1"/>
      <c r="K2926" s="1"/>
      <c r="L2926" s="1"/>
      <c r="M2926" s="1"/>
      <c r="N2926" s="1"/>
      <c r="O2926" s="1"/>
      <c r="P2926" s="1">
        <v>5.2</v>
      </c>
      <c r="Q2926" s="1">
        <v>2.2999999999999998</v>
      </c>
      <c r="R2926" s="1">
        <v>3.2</v>
      </c>
      <c r="S2926" s="1">
        <v>2.1</v>
      </c>
      <c r="T2926" s="1">
        <v>2.1</v>
      </c>
      <c r="U2926" s="1">
        <v>2.1</v>
      </c>
      <c r="V2926" s="1"/>
    </row>
  </sheetData>
  <autoFilter ref="A2:V2926" xr:uid="{00000000-0009-0000-0000-000000000000}"/>
  <pageMargins left="0.7" right="0.7" top="0.75" bottom="0.75" header="0.3" footer="0.3"/>
  <pageSetup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32"/>
  <sheetViews>
    <sheetView zoomScale="55" zoomScaleNormal="55" workbookViewId="0">
      <pane xSplit="2" ySplit="1" topLeftCell="C2" activePane="bottomRight" state="frozen"/>
      <selection pane="topRight" activeCell="Y829" sqref="Y829"/>
      <selection pane="bottomLeft" activeCell="Y829" sqref="Y829"/>
      <selection pane="bottomRight" activeCell="V1" sqref="V1:V1048576"/>
    </sheetView>
  </sheetViews>
  <sheetFormatPr baseColWidth="10" defaultColWidth="9.28515625" defaultRowHeight="12" x14ac:dyDescent="0.2"/>
  <cols>
    <col min="1" max="1" width="27.28515625" style="9" bestFit="1" customWidth="1"/>
    <col min="2" max="2" width="59.5703125" style="1" customWidth="1"/>
    <col min="3" max="5" width="15.5703125" style="1" customWidth="1"/>
    <col min="6" max="6" width="15.85546875" style="1" bestFit="1" customWidth="1"/>
    <col min="7" max="7" width="15.28515625" style="1" bestFit="1" customWidth="1"/>
    <col min="8" max="8" width="15.7109375" style="1" bestFit="1" customWidth="1"/>
    <col min="9" max="9" width="15.42578125" style="1" customWidth="1"/>
    <col min="10" max="10" width="16.42578125" style="1" customWidth="1"/>
    <col min="11" max="11" width="16.28515625" style="1" bestFit="1" customWidth="1"/>
    <col min="12" max="12" width="16.7109375" style="1" bestFit="1" customWidth="1"/>
    <col min="13" max="13" width="16.85546875" style="1" bestFit="1" customWidth="1"/>
    <col min="14" max="14" width="17.140625" style="1" bestFit="1" customWidth="1"/>
    <col min="15" max="15" width="16.140625" style="1" bestFit="1" customWidth="1"/>
    <col min="16" max="16" width="16.28515625" style="1" bestFit="1" customWidth="1"/>
    <col min="17" max="22" width="16.140625" style="1" bestFit="1" customWidth="1"/>
    <col min="23" max="16384" width="9.28515625" style="1"/>
  </cols>
  <sheetData>
    <row r="1" spans="1:22" s="14" customFormat="1" ht="13.5" thickBot="1" x14ac:dyDescent="0.25">
      <c r="A1" s="25" t="s">
        <v>2986</v>
      </c>
      <c r="B1" s="25" t="s">
        <v>2987</v>
      </c>
      <c r="C1" s="25">
        <v>2000</v>
      </c>
      <c r="D1" s="25">
        <v>2001</v>
      </c>
      <c r="E1" s="26">
        <v>2002</v>
      </c>
      <c r="F1" s="27">
        <v>2003</v>
      </c>
      <c r="G1" s="26">
        <v>2004</v>
      </c>
      <c r="H1" s="26">
        <v>2005</v>
      </c>
      <c r="I1" s="26">
        <v>2006</v>
      </c>
      <c r="J1" s="27">
        <v>2007</v>
      </c>
      <c r="K1" s="26">
        <v>2008</v>
      </c>
      <c r="L1" s="27">
        <v>2009</v>
      </c>
      <c r="M1" s="26">
        <v>2010</v>
      </c>
      <c r="N1" s="26">
        <v>2011</v>
      </c>
      <c r="O1" s="27">
        <v>2012</v>
      </c>
      <c r="P1" s="27">
        <v>2013</v>
      </c>
      <c r="Q1" s="26">
        <v>2014</v>
      </c>
      <c r="R1" s="26">
        <v>2015</v>
      </c>
      <c r="S1" s="26">
        <v>2016</v>
      </c>
      <c r="T1" s="26">
        <v>2017</v>
      </c>
      <c r="U1" s="26">
        <v>2018</v>
      </c>
      <c r="V1" s="26">
        <v>2019</v>
      </c>
    </row>
    <row r="2" spans="1:22" s="14" customFormat="1" ht="13.5" thickTop="1" x14ac:dyDescent="0.2">
      <c r="A2" s="28" t="s">
        <v>2988</v>
      </c>
      <c r="B2" s="29" t="s">
        <v>6</v>
      </c>
      <c r="C2" s="29">
        <f>Fuentes!C5</f>
        <v>39476700000</v>
      </c>
      <c r="D2" s="30">
        <f>Fuentes!D5</f>
        <v>48792600000</v>
      </c>
      <c r="E2" s="35">
        <f>Fuentes!E5</f>
        <v>59322456055.089996</v>
      </c>
      <c r="F2" s="28">
        <f>Fuentes!F5</f>
        <v>69684917227.410004</v>
      </c>
      <c r="G2" s="28">
        <f>Fuentes!G5</f>
        <v>79145700000</v>
      </c>
      <c r="H2" s="28">
        <f>Fuentes!H5</f>
        <v>91942274388</v>
      </c>
      <c r="I2" s="28">
        <f>Fuentes!I5</f>
        <v>104041124015</v>
      </c>
      <c r="J2" s="28">
        <f>Fuentes!J5</f>
        <v>126635832263</v>
      </c>
      <c r="K2" s="28">
        <f>Fuentes!K5</f>
        <v>168392053744</v>
      </c>
      <c r="L2" s="28">
        <f>Fuentes!L5</f>
        <v>205729999300</v>
      </c>
      <c r="M2" s="28">
        <f>Fuentes!M5</f>
        <v>238979602820</v>
      </c>
      <c r="N2" s="36">
        <f>Fuentes!N5</f>
        <v>266322330000</v>
      </c>
      <c r="O2" s="28">
        <f>Fuentes!O5</f>
        <v>291376391063</v>
      </c>
      <c r="P2" s="28">
        <f>Fuentes!P5</f>
        <v>318987102256</v>
      </c>
      <c r="Q2" s="28">
        <f>Fuentes!Q5</f>
        <v>353248527770.75</v>
      </c>
      <c r="R2" s="28">
        <f>Fuentes!R5</f>
        <v>398536696300</v>
      </c>
      <c r="S2" s="28">
        <f>Fuentes!S5</f>
        <v>414853442432</v>
      </c>
      <c r="T2" s="28">
        <f>Fuentes!T5</f>
        <v>465945208888.07001</v>
      </c>
      <c r="U2" s="28">
        <f>Fuentes!U5</f>
        <v>468680809830.31</v>
      </c>
      <c r="V2" s="28">
        <f>Fuentes!V5</f>
        <v>473584222971.35999</v>
      </c>
    </row>
    <row r="3" spans="1:22" s="14" customFormat="1" ht="12.75" x14ac:dyDescent="0.2">
      <c r="A3" s="28" t="s">
        <v>2988</v>
      </c>
      <c r="B3" s="29" t="s">
        <v>8</v>
      </c>
      <c r="C3" s="29">
        <f>Fuentes!C7</f>
        <v>30548343279</v>
      </c>
      <c r="D3" s="30">
        <f>Fuentes!D7</f>
        <v>44929805100</v>
      </c>
      <c r="E3" s="35">
        <f>Fuentes!E7</f>
        <v>53509078431.239998</v>
      </c>
      <c r="F3" s="28">
        <f>Fuentes!F7</f>
        <v>61914462634.989998</v>
      </c>
      <c r="G3" s="28">
        <f>Fuentes!G7</f>
        <v>74409871580</v>
      </c>
      <c r="H3" s="36">
        <f>Fuentes!H7</f>
        <v>84785247755.080002</v>
      </c>
      <c r="I3" s="28">
        <f>Fuentes!I7</f>
        <v>99618070062</v>
      </c>
      <c r="J3" s="28">
        <f>Fuentes!J7</f>
        <v>119986040584</v>
      </c>
      <c r="K3" s="28">
        <f>Fuentes!K7</f>
        <v>150036483387</v>
      </c>
      <c r="L3" s="28">
        <f>Fuentes!L7</f>
        <v>186537777805</v>
      </c>
      <c r="M3" s="28">
        <f>Fuentes!M7</f>
        <v>219747952091.14661</v>
      </c>
      <c r="N3" s="28">
        <f>Fuentes!N7</f>
        <v>251350676370.77039</v>
      </c>
      <c r="O3" s="28">
        <f>Fuentes!O7</f>
        <v>272595104843.79926</v>
      </c>
      <c r="P3" s="28">
        <f>Fuentes!P7</f>
        <v>308969366414.31281</v>
      </c>
      <c r="Q3" s="28">
        <f>Fuentes!Q7</f>
        <v>338337707639.15002</v>
      </c>
      <c r="R3" s="28">
        <f>Fuentes!R7</f>
        <v>367378388917.82001</v>
      </c>
      <c r="S3" s="28">
        <f>Fuentes!S7</f>
        <v>386746635381.48279</v>
      </c>
      <c r="T3" s="28">
        <f>Fuentes!T7</f>
        <v>437528590833.54651</v>
      </c>
      <c r="U3" s="28">
        <f>Fuentes!U7</f>
        <v>445171037161.25665</v>
      </c>
      <c r="V3" s="28">
        <f>Fuentes!V7</f>
        <v>617421348654.26025</v>
      </c>
    </row>
    <row r="4" spans="1:22" s="14" customFormat="1" ht="12.75" x14ac:dyDescent="0.2">
      <c r="A4" s="28" t="s">
        <v>2988</v>
      </c>
      <c r="B4" s="29" t="s">
        <v>37</v>
      </c>
      <c r="C4" s="29">
        <f>Fuentes!C36</f>
        <v>32451071056</v>
      </c>
      <c r="D4" s="30">
        <f>Fuentes!D36</f>
        <v>38063628995</v>
      </c>
      <c r="E4" s="35">
        <f>Fuentes!E36</f>
        <v>46286951332</v>
      </c>
      <c r="F4" s="28">
        <f>Fuentes!F36</f>
        <v>53721764266</v>
      </c>
      <c r="G4" s="28">
        <f>Fuentes!G36</f>
        <v>64806210951</v>
      </c>
      <c r="H4" s="28">
        <f>Fuentes!H36</f>
        <v>74789624024</v>
      </c>
      <c r="I4" s="28">
        <f>Fuentes!I36</f>
        <v>87283851402</v>
      </c>
      <c r="J4" s="28">
        <f>Fuentes!J36</f>
        <v>101589334496</v>
      </c>
      <c r="K4" s="28">
        <f>Fuentes!K36</f>
        <v>126757663823</v>
      </c>
      <c r="L4" s="28">
        <f>Fuentes!L36</f>
        <v>158526013746</v>
      </c>
      <c r="M4" s="28">
        <f>Fuentes!M36</f>
        <v>194001279726</v>
      </c>
      <c r="N4" s="36">
        <f>Fuentes!N36</f>
        <v>221876796686</v>
      </c>
      <c r="O4" s="28">
        <f>Fuentes!O36</f>
        <v>243558168355</v>
      </c>
      <c r="P4" s="28">
        <f>Fuentes!P36</f>
        <v>274552278097</v>
      </c>
      <c r="Q4" s="28">
        <f>Fuentes!Q36</f>
        <v>300598978501</v>
      </c>
      <c r="R4" s="28">
        <f>Fuentes!R36</f>
        <v>324834377264</v>
      </c>
      <c r="S4" s="28">
        <f>Fuentes!S36</f>
        <v>335985916009</v>
      </c>
      <c r="T4" s="28">
        <f>Fuentes!T36</f>
        <v>350479228391</v>
      </c>
      <c r="U4" s="28">
        <f>Fuentes!U36</f>
        <v>371360423769</v>
      </c>
      <c r="V4" s="28">
        <f>Fuentes!V36</f>
        <v>380027255229.76355</v>
      </c>
    </row>
    <row r="5" spans="1:22" s="14" customFormat="1" ht="12.75" x14ac:dyDescent="0.2">
      <c r="A5" s="28" t="s">
        <v>2988</v>
      </c>
      <c r="B5" s="29" t="s">
        <v>2989</v>
      </c>
      <c r="C5" s="29">
        <f>(Fuentes!C7/Fuentes!C33)*100</f>
        <v>4.0370171973044213</v>
      </c>
      <c r="D5" s="30">
        <f>(Fuentes!D7/Fuentes!D33)*100</f>
        <v>5.0925123082804742</v>
      </c>
      <c r="E5" s="35">
        <f>(Fuentes!E7/Fuentes!E33)*100</f>
        <v>5.0096809403906972</v>
      </c>
      <c r="F5" s="28">
        <f>(Fuentes!F7/Fuentes!F33)*100</f>
        <v>5.2780271843554214</v>
      </c>
      <c r="G5" s="28">
        <f>(Fuentes!G7/Fuentes!G33)*100</f>
        <v>5.5953502476478771</v>
      </c>
      <c r="H5" s="36">
        <f>(Fuentes!H7/Fuentes!H33)*100</f>
        <v>5.5721480658442815</v>
      </c>
      <c r="I5" s="28">
        <f>(Fuentes!I7/Fuentes!I33)*100</f>
        <v>5.6620143919804047</v>
      </c>
      <c r="J5" s="28">
        <f>(Fuentes!J7/Fuentes!J33)*100</f>
        <v>5.9190033500030212</v>
      </c>
      <c r="K5" s="28">
        <f>(Fuentes!K7/Fuentes!K33)*100</f>
        <v>6.0979738484333295</v>
      </c>
      <c r="L5" s="28">
        <f>(Fuentes!L7/Fuentes!L33)*100</f>
        <v>6.352805084463788</v>
      </c>
      <c r="M5" s="28">
        <f>(Fuentes!M7/Fuentes!M33)*100</f>
        <v>5.8999425945981478</v>
      </c>
      <c r="N5" s="28">
        <f>(Fuentes!N7/Fuentes!N33)*100</f>
        <v>6.4951942173568176</v>
      </c>
      <c r="O5" s="28">
        <f>(Fuentes!O7/Fuentes!O33)*100</f>
        <v>6.3757598996344313</v>
      </c>
      <c r="P5" s="28">
        <f>(Fuentes!P7/Fuentes!P33)*100</f>
        <v>6.3413461150165595</v>
      </c>
      <c r="Q5" s="28">
        <f>(Fuentes!Q7/Fuentes!Q33)*100</f>
        <v>6.3514009827852478</v>
      </c>
      <c r="R5" s="28">
        <f>(Fuentes!R7/Fuentes!R33)*100</f>
        <v>6.2831303507075473</v>
      </c>
      <c r="S5" s="28">
        <f>(Fuentes!S7/Fuentes!S33)*100</f>
        <v>6.2368209888354498</v>
      </c>
      <c r="T5" s="28">
        <f>(Fuentes!T7/Fuentes!T33)*100</f>
        <v>6.4678427136677641</v>
      </c>
      <c r="U5" s="28">
        <f>(Fuentes!U7/Fuentes!U33)*100</f>
        <v>6.3639801188628757</v>
      </c>
      <c r="V5" s="28">
        <f>(Fuentes!V7/Fuentes!V33)*100</f>
        <v>7.8348950129186319</v>
      </c>
    </row>
    <row r="6" spans="1:22" s="14" customFormat="1" ht="12.75" x14ac:dyDescent="0.2">
      <c r="A6" s="28" t="s">
        <v>2988</v>
      </c>
      <c r="B6" s="29" t="s">
        <v>2990</v>
      </c>
      <c r="C6" s="29">
        <f>(Fuentes!C8/Fuentes!C33)*100</f>
        <v>0</v>
      </c>
      <c r="D6" s="30">
        <f>(Fuentes!D8/Fuentes!D33)*100</f>
        <v>1.0400176842309043</v>
      </c>
      <c r="E6" s="35">
        <f>(Fuentes!E8/Fuentes!E33)*100</f>
        <v>0.98945449132887087</v>
      </c>
      <c r="F6" s="28">
        <f>(Fuentes!F8/Fuentes!F33)*100</f>
        <v>1.0925150850241594</v>
      </c>
      <c r="G6" s="28">
        <f>(Fuentes!G8/Fuentes!G33)*100</f>
        <v>1.2362548074714184</v>
      </c>
      <c r="H6" s="28">
        <f>(Fuentes!H8/Fuentes!H33)*100</f>
        <v>1.1653184490618367</v>
      </c>
      <c r="I6" s="28">
        <f>(Fuentes!I8/Fuentes!I33)*100</f>
        <v>1.13012248319096</v>
      </c>
      <c r="J6" s="28">
        <f>(Fuentes!J8/Fuentes!J33)*100</f>
        <v>1.2014851604421517</v>
      </c>
      <c r="K6" s="28">
        <f>(Fuentes!K8/Fuentes!K33)*100</f>
        <v>1.2337521095757693</v>
      </c>
      <c r="L6" s="28">
        <f>(Fuentes!L8/Fuentes!L33)*100</f>
        <v>1.4718751852710705</v>
      </c>
      <c r="M6" s="28">
        <f>(Fuentes!M8/Fuentes!M33)*100</f>
        <v>1.2071644776489836</v>
      </c>
      <c r="N6" s="36">
        <f>(Fuentes!N8/Fuentes!N33)*100</f>
        <v>1.2561350555634381</v>
      </c>
      <c r="O6" s="28">
        <f>(Fuentes!O8/Fuentes!O33)*100</f>
        <v>1.2275178293822619</v>
      </c>
      <c r="P6" s="28">
        <f>(Fuentes!P8/Fuentes!P33)*100</f>
        <v>1.2612142730184877</v>
      </c>
      <c r="Q6" s="28">
        <f>(Fuentes!Q8/Fuentes!Q33)*100</f>
        <v>1.2528249143961108</v>
      </c>
      <c r="R6" s="28">
        <f>(Fuentes!R8/Fuentes!R33)*100</f>
        <v>1.2509640734305472</v>
      </c>
      <c r="S6" s="28">
        <f>(Fuentes!S8/Fuentes!S33)*100</f>
        <v>1.2962565939828403</v>
      </c>
      <c r="T6" s="28">
        <f>(Fuentes!T8/Fuentes!T33)*100</f>
        <v>1.6251402345844868</v>
      </c>
      <c r="U6" s="28">
        <f>(Fuentes!U8/Fuentes!U33)*100</f>
        <v>1.4107047623728135</v>
      </c>
      <c r="V6" s="28">
        <f>(Fuentes!V8/Fuentes!V33)*100</f>
        <v>1.1995992152503641</v>
      </c>
    </row>
    <row r="7" spans="1:22" s="14" customFormat="1" ht="12.75" x14ac:dyDescent="0.2">
      <c r="A7" s="28" t="s">
        <v>2988</v>
      </c>
      <c r="B7" s="29" t="s">
        <v>2991</v>
      </c>
      <c r="C7" s="29">
        <f>(Fuentes!C9/Fuentes!C33)*100</f>
        <v>2.0708383887106456</v>
      </c>
      <c r="D7" s="30">
        <f>(Fuentes!D9/Fuentes!D33)*100</f>
        <v>2.0906565655100202</v>
      </c>
      <c r="E7" s="35">
        <f>(Fuentes!E9/Fuentes!E33)*100</f>
        <v>1.997910730179892</v>
      </c>
      <c r="F7" s="28">
        <f>(Fuentes!F9/Fuentes!F33)*100</f>
        <v>2.0424195246673937</v>
      </c>
      <c r="G7" s="28">
        <f>(Fuentes!G9/Fuentes!G33)*100</f>
        <v>1.9952742259495213</v>
      </c>
      <c r="H7" s="36">
        <f>(Fuentes!H9/Fuentes!H33)*100</f>
        <v>2.0700199027333248</v>
      </c>
      <c r="I7" s="28">
        <f>(Fuentes!I9/Fuentes!I33)*100</f>
        <v>2.0629129764721181</v>
      </c>
      <c r="J7" s="28">
        <f>(Fuentes!J9/Fuentes!J33)*100</f>
        <v>2.0765888753695183</v>
      </c>
      <c r="K7" s="28">
        <f>(Fuentes!K9/Fuentes!K33)*100</f>
        <v>2.2901694431954858</v>
      </c>
      <c r="L7" s="28">
        <f>(Fuentes!L9/Fuentes!L33)*100</f>
        <v>2.1834796391942435</v>
      </c>
      <c r="M7" s="28">
        <f>(Fuentes!M9/Fuentes!M33)*100</f>
        <v>2.0655790624415635</v>
      </c>
      <c r="N7" s="28">
        <f>(Fuentes!N9/Fuentes!N33)*100</f>
        <v>2.3326732175453437</v>
      </c>
      <c r="O7" s="28">
        <f>(Fuentes!O9/Fuentes!O33)*100</f>
        <v>2.2693490279469279</v>
      </c>
      <c r="P7" s="28">
        <f>(Fuentes!P9/Fuentes!P33)*100</f>
        <v>2.2156344818039782</v>
      </c>
      <c r="Q7" s="28">
        <f>(Fuentes!Q9/Fuentes!Q33)*100</f>
        <v>2.2526502320762538</v>
      </c>
      <c r="R7" s="28">
        <f>(Fuentes!R9/Fuentes!R33)*100</f>
        <v>2.2948366919014584</v>
      </c>
      <c r="S7" s="28">
        <f>(Fuentes!S9/Fuentes!S33)*100</f>
        <v>2.2526796378902127</v>
      </c>
      <c r="T7" s="28">
        <f>(Fuentes!T9/Fuentes!T33)*100</f>
        <v>2.163147158472051</v>
      </c>
      <c r="U7" s="28">
        <f>(Fuentes!U9/Fuentes!U33)*100</f>
        <v>2.277440843729535</v>
      </c>
      <c r="V7" s="28">
        <f>(Fuentes!V9/Fuentes!V33)*100</f>
        <v>2.068787230153609</v>
      </c>
    </row>
    <row r="8" spans="1:22" s="14" customFormat="1" ht="12.75" x14ac:dyDescent="0.2">
      <c r="A8" s="28" t="s">
        <v>2988</v>
      </c>
      <c r="B8" s="29" t="s">
        <v>2992</v>
      </c>
      <c r="C8" s="29">
        <f>(Fuentes!C24/Fuentes!C33)*100</f>
        <v>1.0283022938373143</v>
      </c>
      <c r="D8" s="30">
        <f>(Fuentes!D24/Fuentes!D33)*100</f>
        <v>1.0485534221366453</v>
      </c>
      <c r="E8" s="35">
        <f>(Fuentes!E24/Fuentes!E33)*100</f>
        <v>1.1146164953443618</v>
      </c>
      <c r="F8" s="28">
        <f>(Fuentes!F24/Fuentes!F33)*100</f>
        <v>1.1861560166494369</v>
      </c>
      <c r="G8" s="28">
        <f>(Fuentes!G24/Fuentes!G33)*100</f>
        <v>1.0826784502093805</v>
      </c>
      <c r="H8" s="28">
        <f>(Fuentes!H24/Fuentes!H33)*100</f>
        <v>1.1023064131599183</v>
      </c>
      <c r="I8" s="28">
        <f>(Fuentes!I24/Fuentes!I33)*100</f>
        <v>1.1105938180767831</v>
      </c>
      <c r="J8" s="28">
        <f>(Fuentes!J24/Fuentes!J33)*100</f>
        <v>1.1583820825229727</v>
      </c>
      <c r="K8" s="28">
        <f>(Fuentes!K24/Fuentes!K33)*100</f>
        <v>1.2164550697107404</v>
      </c>
      <c r="L8" s="28">
        <f>(Fuentes!L24/Fuentes!L33)*100</f>
        <v>1.2878720332491267</v>
      </c>
      <c r="M8" s="28">
        <f>(Fuentes!M24/Fuentes!M33)*100</f>
        <v>1.2347464020485759</v>
      </c>
      <c r="N8" s="36">
        <f>(Fuentes!N24/Fuentes!N33)*100</f>
        <v>1.3805717305056808</v>
      </c>
      <c r="O8" s="28">
        <f>(Fuentes!O24/Fuentes!O33)*100</f>
        <v>1.3369814175308534</v>
      </c>
      <c r="P8" s="28">
        <f>(Fuentes!P24/Fuentes!P33)*100</f>
        <v>1.3297927360995661</v>
      </c>
      <c r="Q8" s="28">
        <f>(Fuentes!Q24/Fuentes!Q33)*100</f>
        <v>1.3120510897774378</v>
      </c>
      <c r="R8" s="28">
        <f>(Fuentes!R24/Fuentes!R33)*100</f>
        <v>1.3300709014469119</v>
      </c>
      <c r="S8" s="28">
        <f>(Fuentes!S24/Fuentes!S33)*100</f>
        <v>1.3067493401853651</v>
      </c>
      <c r="T8" s="28">
        <f>(Fuentes!T24/Fuentes!T33)*100</f>
        <v>1.3045361375633109</v>
      </c>
      <c r="U8" s="28">
        <f>(Fuentes!U24/Fuentes!U33)*100</f>
        <v>1.2813060693225067</v>
      </c>
      <c r="V8" s="28">
        <f>(Fuentes!V24/Fuentes!V33)*100</f>
        <v>1.2310544777287822</v>
      </c>
    </row>
    <row r="9" spans="1:22" s="14" customFormat="1" ht="12.75" x14ac:dyDescent="0.2">
      <c r="A9" s="28" t="s">
        <v>2988</v>
      </c>
      <c r="B9" s="29" t="s">
        <v>2993</v>
      </c>
      <c r="C9" s="29">
        <f>(Fuentes!C25/Fuentes!C33)*100</f>
        <v>0.56985459289462304</v>
      </c>
      <c r="D9" s="30">
        <f>(Fuentes!D25/Fuentes!D33)*100</f>
        <v>0.56494553300405459</v>
      </c>
      <c r="E9" s="35">
        <f>(Fuentes!E25/Fuentes!E33)*100</f>
        <v>0.54653529526590572</v>
      </c>
      <c r="F9" s="28">
        <f>(Fuentes!F25/Fuentes!F33)*100</f>
        <v>0.57763968019728218</v>
      </c>
      <c r="G9" s="28">
        <f>(Fuentes!G25/Fuentes!G33)*100</f>
        <v>0.59319779503266501</v>
      </c>
      <c r="H9" s="36">
        <f>(Fuentes!H25/Fuentes!H33)*100</f>
        <v>0.63987347090872049</v>
      </c>
      <c r="I9" s="28">
        <f>(Fuentes!I25/Fuentes!I33)*100</f>
        <v>0.65250517968974153</v>
      </c>
      <c r="J9" s="28">
        <f>(Fuentes!J25/Fuentes!J33)*100</f>
        <v>0.6602441098941485</v>
      </c>
      <c r="K9" s="28">
        <f>(Fuentes!K25/Fuentes!K33)*100</f>
        <v>0.71881299303080304</v>
      </c>
      <c r="L9" s="28">
        <f>(Fuentes!L25/Fuentes!L33)*100</f>
        <v>0.78122286473782343</v>
      </c>
      <c r="M9" s="28">
        <f>(Fuentes!M25/Fuentes!M33)*100</f>
        <v>0.79626164648782471</v>
      </c>
      <c r="N9" s="28">
        <f>(Fuentes!N25/Fuentes!N33)*100</f>
        <v>0.88976165452197498</v>
      </c>
      <c r="O9" s="28">
        <f>(Fuentes!O25/Fuentes!O33)*100</f>
        <v>0.78710656472160512</v>
      </c>
      <c r="P9" s="28">
        <f>(Fuentes!P25/Fuentes!P33)*100</f>
        <v>0.77247881678051222</v>
      </c>
      <c r="Q9" s="28">
        <f>(Fuentes!Q25/Fuentes!Q33)*100</f>
        <v>0.76495166240233492</v>
      </c>
      <c r="R9" s="28">
        <f>(Fuentes!R25/Fuentes!R33)*100</f>
        <v>0.77116169419030056</v>
      </c>
      <c r="S9" s="28">
        <f>(Fuentes!S25/Fuentes!S33)*100</f>
        <v>0.73982077139575975</v>
      </c>
      <c r="T9" s="28">
        <f>(Fuentes!T25/Fuentes!T33)*100</f>
        <v>0.75224171802882267</v>
      </c>
      <c r="U9" s="28">
        <f>(Fuentes!U25/Fuentes!U33)*100</f>
        <v>0.72813132054731522</v>
      </c>
      <c r="V9" s="28">
        <f>(Fuentes!V25/Fuentes!V33)*100</f>
        <v>0.65721840196507286</v>
      </c>
    </row>
    <row r="10" spans="1:22" s="14" customFormat="1" ht="12.75" x14ac:dyDescent="0.2">
      <c r="A10" s="28" t="s">
        <v>2988</v>
      </c>
      <c r="B10" s="29" t="s">
        <v>2994</v>
      </c>
      <c r="C10" s="29">
        <f>(Fuentes!C26/Fuentes!C33)*100</f>
        <v>0.35612409234870412</v>
      </c>
      <c r="D10" s="30">
        <f>(Fuentes!D26/Fuentes!D33)*100</f>
        <v>0.34833910339885021</v>
      </c>
      <c r="E10" s="35">
        <f>(Fuentes!E26/Fuentes!E33)*100</f>
        <v>0.36116392827166777</v>
      </c>
      <c r="F10" s="28">
        <f>(Fuentes!F26/Fuentes!F33)*100</f>
        <v>0.3792968778171496</v>
      </c>
      <c r="G10" s="28">
        <f>(Fuentes!G26/Fuentes!G33)*100</f>
        <v>0.38604120127963121</v>
      </c>
      <c r="H10" s="28">
        <f>(Fuentes!H26/Fuentes!H33)*100</f>
        <v>0.38132354339868163</v>
      </c>
      <c r="I10" s="28">
        <f>(Fuentes!I26/Fuentes!I33)*100</f>
        <v>0.39543003258364284</v>
      </c>
      <c r="J10" s="28">
        <f>(Fuentes!J26/Fuentes!J33)*100</f>
        <v>0.39856697398912011</v>
      </c>
      <c r="K10" s="28">
        <f>(Fuentes!K26/Fuentes!K33)*100</f>
        <v>0.44525163467506013</v>
      </c>
      <c r="L10" s="28">
        <f>(Fuentes!L26/Fuentes!L33)*100</f>
        <v>0.46992287042864778</v>
      </c>
      <c r="M10" s="28">
        <f>(Fuentes!M26/Fuentes!M33)*100</f>
        <v>0.46758655848187675</v>
      </c>
      <c r="N10" s="36">
        <f>(Fuentes!N26/Fuentes!N33)*100</f>
        <v>0.49549983339537906</v>
      </c>
      <c r="O10" s="28">
        <f>(Fuentes!O26/Fuentes!O33)*100</f>
        <v>0.51130861997320687</v>
      </c>
      <c r="P10" s="28">
        <f>(Fuentes!P26/Fuentes!P33)*100</f>
        <v>0.51196162860296812</v>
      </c>
      <c r="Q10" s="28">
        <f>(Fuentes!Q26/Fuentes!Q33)*100</f>
        <v>0.52318767644151531</v>
      </c>
      <c r="R10" s="28">
        <f>(Fuentes!R26/Fuentes!R33)*100</f>
        <v>0.51745386773708046</v>
      </c>
      <c r="S10" s="28">
        <f>(Fuentes!S26/Fuentes!S33)*100</f>
        <v>0.50868145023000166</v>
      </c>
      <c r="T10" s="28">
        <f>(Fuentes!T26/Fuentes!T33)*100</f>
        <v>0.49970218386518978</v>
      </c>
      <c r="U10" s="28">
        <f>(Fuentes!U26/Fuentes!U33)*100</f>
        <v>0.54532876857521795</v>
      </c>
      <c r="V10" s="28">
        <f>(Fuentes!V26/Fuentes!V33)*100</f>
        <v>0.49291096754904806</v>
      </c>
    </row>
    <row r="11" spans="1:22" s="14" customFormat="1" ht="12.75" x14ac:dyDescent="0.2">
      <c r="A11" s="28" t="s">
        <v>2988</v>
      </c>
      <c r="B11" s="29" t="s">
        <v>2995</v>
      </c>
      <c r="C11" s="29"/>
      <c r="D11" s="30"/>
      <c r="E11" s="35"/>
      <c r="F11" s="28"/>
      <c r="G11" s="28"/>
      <c r="H11" s="36"/>
      <c r="I11" s="28"/>
      <c r="J11" s="28"/>
      <c r="K11" s="28"/>
      <c r="L11" s="28"/>
      <c r="M11" s="28"/>
      <c r="N11" s="28">
        <f>(Fuentes!N30/Fuentes!N33)*100</f>
        <v>0</v>
      </c>
      <c r="O11" s="28">
        <f>(Fuentes!O30/Fuentes!O33)*100</f>
        <v>0.11417604811126982</v>
      </c>
      <c r="P11" s="28">
        <f>(Fuentes!P30/Fuentes!P33)*100</f>
        <v>0.13246009814245008</v>
      </c>
      <c r="Q11" s="28">
        <f>(Fuentes!Q30/Fuentes!Q33)*100</f>
        <v>0.12749734241420502</v>
      </c>
      <c r="R11" s="28">
        <f>(Fuentes!R30/Fuentes!R33)*100</f>
        <v>0.11864312200124923</v>
      </c>
      <c r="S11" s="28">
        <f>(Fuentes!S30/Fuentes!S33)*100</f>
        <v>0.13263319515127014</v>
      </c>
      <c r="T11" s="28">
        <f>(Fuentes!T30/Fuentes!T33)*100</f>
        <v>0.12307528115390244</v>
      </c>
      <c r="U11" s="28">
        <f>(Fuentes!U30/Fuentes!U33)*100</f>
        <v>0.12106835431548665</v>
      </c>
      <c r="V11" s="28">
        <f>(Fuentes!V30/Fuentes!V33)*100</f>
        <v>0.11653749011814574</v>
      </c>
    </row>
    <row r="12" spans="1:22" s="14" customFormat="1" ht="12.75" x14ac:dyDescent="0.2">
      <c r="A12" s="28" t="s">
        <v>2988</v>
      </c>
      <c r="B12" s="29" t="s">
        <v>2996</v>
      </c>
      <c r="C12" s="29">
        <f>((Fuentes!C27+Fuentes!C28+Fuentes!C29+Fuentes!C31)/Fuentes!C33)*100</f>
        <v>1.1897829513134429E-2</v>
      </c>
      <c r="D12" s="30">
        <f>((Fuentes!D27+Fuentes!D28+Fuentes!D29+Fuentes!D31)/Fuentes!D33)*100</f>
        <v>0</v>
      </c>
      <c r="E12" s="35">
        <f>((Fuentes!E27+Fuentes!E28+Fuentes!E29+Fuentes!E31)/Fuentes!E33)*100</f>
        <v>0</v>
      </c>
      <c r="F12" s="28">
        <f>((Fuentes!F27+Fuentes!F28+Fuentes!F29+Fuentes!F31)/Fuentes!F33)*100</f>
        <v>0</v>
      </c>
      <c r="G12" s="28">
        <f>((Fuentes!G27+Fuentes!G28+Fuentes!G29+Fuentes!G31)/Fuentes!G33)*100</f>
        <v>0.30190376770526101</v>
      </c>
      <c r="H12" s="28">
        <f>((Fuentes!H27+Fuentes!H28+Fuentes!H29+Fuentes!H31)/Fuentes!H33)*100</f>
        <v>0.21330628658179931</v>
      </c>
      <c r="I12" s="28">
        <f>((Fuentes!I27+Fuentes!I28+Fuentes!I29+Fuentes!I31)/Fuentes!I33)*100</f>
        <v>0.31044990196715899</v>
      </c>
      <c r="J12" s="28">
        <f>((Fuentes!J27+Fuentes!J28+Fuentes!J29+Fuentes!J31)/Fuentes!J33)*100</f>
        <v>0.42373614778511026</v>
      </c>
      <c r="K12" s="28">
        <f>((Fuentes!K27+Fuentes!K28+Fuentes!K29+Fuentes!K31)/Fuentes!K33)*100</f>
        <v>0.19353259824547084</v>
      </c>
      <c r="L12" s="28">
        <f>((Fuentes!L27+Fuentes!L28+Fuentes!L29+Fuentes!L31)/Fuentes!L33)*100</f>
        <v>0.15843249158287573</v>
      </c>
      <c r="M12" s="28">
        <f>((Fuentes!M27+Fuentes!M28+Fuentes!M29+Fuentes!M31)/Fuentes!M33)*100</f>
        <v>0.12860444748932348</v>
      </c>
      <c r="N12" s="36">
        <f>((Fuentes!N27+Fuentes!N28+Fuentes!N29+Fuentes!N31)/Fuentes!N33)*100</f>
        <v>0.14055272582500053</v>
      </c>
      <c r="O12" s="28">
        <f>((Fuentes!O27+Fuentes!O28+Fuentes!O29+Fuentes!O31)/Fuentes!O33)*100</f>
        <v>0.1293203919683053</v>
      </c>
      <c r="P12" s="28">
        <f>((Fuentes!P27+Fuentes!P28+Fuentes!P29+Fuentes!P31)/Fuentes!P33)*100</f>
        <v>0.11780408056859752</v>
      </c>
      <c r="Q12" s="28">
        <f>((Fuentes!Q27+Fuentes!Q28+Fuentes!Q29+Fuentes!Q31)/Fuentes!Q33)*100</f>
        <v>0.11823806527739107</v>
      </c>
      <c r="R12" s="28"/>
      <c r="S12" s="28"/>
      <c r="T12" s="28"/>
      <c r="U12" s="28"/>
      <c r="V12" s="28"/>
    </row>
    <row r="13" spans="1:22" s="14" customFormat="1" ht="12.75" x14ac:dyDescent="0.2">
      <c r="A13" s="28" t="s">
        <v>2988</v>
      </c>
      <c r="B13" s="29" t="s">
        <v>2997</v>
      </c>
      <c r="C13" s="29">
        <f>Fuentes!C7/Fuentes!C47</f>
        <v>7888.8404115951325</v>
      </c>
      <c r="D13" s="30">
        <f>Fuentes!D7/Fuentes!D47</f>
        <v>11364.871921410293</v>
      </c>
      <c r="E13" s="35">
        <f>Fuentes!E7/Fuentes!E47</f>
        <v>13302.671551417538</v>
      </c>
      <c r="F13" s="28">
        <f>Fuentes!F7/Fuentes!F47</f>
        <v>15151.328034051936</v>
      </c>
      <c r="G13" s="28">
        <f>Fuentes!G7/Fuentes!G47</f>
        <v>17922.216717812873</v>
      </c>
      <c r="H13" s="36">
        <f>Fuentes!H7/Fuentes!H47</f>
        <v>20113.940568877562</v>
      </c>
      <c r="I13" s="28">
        <f>Fuentes!I7/Fuentes!I47</f>
        <v>23282.561173882641</v>
      </c>
      <c r="J13" s="28">
        <f>Fuentes!J7/Fuentes!J47</f>
        <v>27644.06898550591</v>
      </c>
      <c r="K13" s="28">
        <f>Fuentes!K7/Fuentes!K47</f>
        <v>34067.533448907721</v>
      </c>
      <c r="L13" s="28">
        <f>Fuentes!L7/Fuentes!L47</f>
        <v>41737.237045449918</v>
      </c>
      <c r="M13" s="28">
        <f>Fuentes!M7/Fuentes!M47</f>
        <v>48467.818632536757</v>
      </c>
      <c r="N13" s="28">
        <f>Fuentes!N7/Fuentes!N47</f>
        <v>54734.893367039513</v>
      </c>
      <c r="O13" s="28">
        <f>Fuentes!O7/Fuentes!O47</f>
        <v>58591.719685774071</v>
      </c>
      <c r="P13" s="28">
        <f>Fuentes!P7/Fuentes!P47</f>
        <v>65554.554523100145</v>
      </c>
      <c r="Q13" s="28">
        <f>Fuentes!Q7/Fuentes!Q47</f>
        <v>70883.987522446027</v>
      </c>
      <c r="R13" s="28">
        <f>Fuentes!R7/Fuentes!R47</f>
        <v>76026.724100051593</v>
      </c>
      <c r="S13" s="28">
        <f>Fuentes!S7/Fuentes!S47</f>
        <v>79083.275338048479</v>
      </c>
      <c r="T13" s="28">
        <f>Fuentes!T7/Fuentes!T47</f>
        <v>88434.617704150151</v>
      </c>
      <c r="U13" s="28">
        <f>Fuentes!U7/Fuentes!U47</f>
        <v>88973.829791354918</v>
      </c>
      <c r="V13" s="28">
        <f>Fuentes!V7/Fuentes!V47</f>
        <v>122068.30184313208</v>
      </c>
    </row>
    <row r="14" spans="1:22" s="14" customFormat="1" ht="12.75" x14ac:dyDescent="0.2">
      <c r="A14" s="28" t="s">
        <v>2988</v>
      </c>
      <c r="B14" s="29" t="s">
        <v>2998</v>
      </c>
      <c r="C14" s="29">
        <f>C13/Fuentes!C46</f>
        <v>25.617276868306973</v>
      </c>
      <c r="D14" s="30">
        <f>D13/Fuentes!D46</f>
        <v>34.664852589325278</v>
      </c>
      <c r="E14" s="35">
        <f>E13/Fuentes!E46</f>
        <v>37.031070766410203</v>
      </c>
      <c r="F14" s="28">
        <f>F13/Fuentes!F46</f>
        <v>38.056232974284619</v>
      </c>
      <c r="G14" s="28">
        <f>G13/Fuentes!G46</f>
        <v>41.030715929058772</v>
      </c>
      <c r="H14" s="28">
        <f>H13/Fuentes!H46</f>
        <v>42.166706293112433</v>
      </c>
      <c r="I14" s="28">
        <f>I13/Fuentes!I46</f>
        <v>45.466648128969375</v>
      </c>
      <c r="J14" s="28">
        <f>J13/Fuentes!J46</f>
        <v>53.518806236822471</v>
      </c>
      <c r="K14" s="28">
        <f>K13/Fuentes!K46</f>
        <v>65.963546932788049</v>
      </c>
      <c r="L14" s="28">
        <f>L13/Fuentes!L46</f>
        <v>73.170591408723411</v>
      </c>
      <c r="M14" s="28">
        <f>M13/Fuentes!M46</f>
        <v>91.31604769021753</v>
      </c>
      <c r="N14" s="36">
        <f>N13/Fuentes!N46</f>
        <v>109.86309661997855</v>
      </c>
      <c r="O14" s="28">
        <f>O13/Fuentes!O46</f>
        <v>118.95105200433252</v>
      </c>
      <c r="P14" s="28">
        <f>P13/Fuentes!P46</f>
        <v>132.96260779891719</v>
      </c>
      <c r="Q14" s="28">
        <f>Q13/Fuentes!Q46</f>
        <v>131.88209332895369</v>
      </c>
      <c r="R14" s="28">
        <f>R13/Fuentes!R46</f>
        <v>143.8619488335224</v>
      </c>
      <c r="S14" s="28">
        <f>S13/Fuentes!S46</f>
        <v>146.02056045726189</v>
      </c>
      <c r="T14" s="28">
        <f>T13/Fuentes!T46</f>
        <v>156.24214714254191</v>
      </c>
      <c r="U14" s="28">
        <f>U13/Fuentes!U46</f>
        <v>157.9118092278768</v>
      </c>
      <c r="V14" s="28">
        <f>V13/Fuentes!V46</f>
        <v>211.6595606934597</v>
      </c>
    </row>
    <row r="15" spans="1:22" s="14" customFormat="1" ht="12.75" x14ac:dyDescent="0.2">
      <c r="A15" s="28" t="s">
        <v>2988</v>
      </c>
      <c r="B15" s="29" t="s">
        <v>2999</v>
      </c>
      <c r="C15" s="29">
        <f>(Fuentes!C8/Fuentes!C7)*100</f>
        <v>0</v>
      </c>
      <c r="D15" s="30">
        <f>(Fuentes!D8/Fuentes!D7)*100</f>
        <v>20.422487394676011</v>
      </c>
      <c r="E15" s="35">
        <f>(Fuentes!E8/Fuentes!E7)*100</f>
        <v>19.750848469238139</v>
      </c>
      <c r="F15" s="28">
        <f>(Fuentes!F8/Fuentes!F7)*100</f>
        <v>20.699307655376973</v>
      </c>
      <c r="G15" s="28">
        <f>(Fuentes!G8/Fuentes!G7)*100</f>
        <v>22.09432390744626</v>
      </c>
      <c r="H15" s="36">
        <f>(Fuentes!H8/Fuentes!H7)*100</f>
        <v>20.913271422288918</v>
      </c>
      <c r="I15" s="28">
        <f>(Fuentes!I8/Fuentes!I7)*100</f>
        <v>19.959724666041982</v>
      </c>
      <c r="J15" s="28">
        <f>(Fuentes!J8/Fuentes!J7)*100</f>
        <v>20.298774800347736</v>
      </c>
      <c r="K15" s="28">
        <f>(Fuentes!K8/Fuentes!K7)*100</f>
        <v>20.232164654047192</v>
      </c>
      <c r="L15" s="28">
        <f>(Fuentes!L8/Fuentes!L7)*100</f>
        <v>23.168902015751126</v>
      </c>
      <c r="M15" s="28">
        <f>(Fuentes!M8/Fuentes!M7)*100</f>
        <v>20.460613951638031</v>
      </c>
      <c r="N15" s="28">
        <f>(Fuentes!N8/Fuentes!N7)*100</f>
        <v>19.339453348549991</v>
      </c>
      <c r="O15" s="28">
        <f>(Fuentes!O8/Fuentes!O7)*100</f>
        <v>19.252886694378883</v>
      </c>
      <c r="P15" s="28">
        <f>(Fuentes!P8/Fuentes!P7)*100</f>
        <v>19.888746807746102</v>
      </c>
      <c r="Q15" s="28">
        <f>(Fuentes!Q8/Fuentes!Q7)*100</f>
        <v>19.725174300784197</v>
      </c>
      <c r="R15" s="28">
        <f>(Fuentes!R8/Fuentes!R7)*100</f>
        <v>19.909885735375127</v>
      </c>
      <c r="S15" s="28">
        <f>(Fuentes!S8/Fuentes!S7)*100</f>
        <v>20.783931369896184</v>
      </c>
      <c r="T15" s="28">
        <f>(Fuentes!T8/Fuentes!T7)*100</f>
        <v>25.126464982679014</v>
      </c>
      <c r="U15" s="28">
        <f>(Fuentes!U8/Fuentes!U7)*100</f>
        <v>22.167020261290194</v>
      </c>
      <c r="V15" s="28">
        <f>(Fuentes!V8/Fuentes!V7)*100</f>
        <v>15.310980086809014</v>
      </c>
    </row>
    <row r="16" spans="1:22" s="14" customFormat="1" ht="12.75" x14ac:dyDescent="0.2">
      <c r="A16" s="28" t="s">
        <v>2988</v>
      </c>
      <c r="B16" s="29" t="s">
        <v>3000</v>
      </c>
      <c r="C16" s="29">
        <f>(Fuentes!C9/Fuentes!C7)*100</f>
        <v>51.296248876357929</v>
      </c>
      <c r="D16" s="30">
        <f>(Fuentes!D9/Fuentes!D7)*100</f>
        <v>41.053539764854222</v>
      </c>
      <c r="E16" s="35">
        <f>(Fuentes!E9/Fuentes!E7)*100</f>
        <v>39.880997491710076</v>
      </c>
      <c r="F16" s="28">
        <f>(Fuentes!F9/Fuentes!F7)*100</f>
        <v>38.696646556147357</v>
      </c>
      <c r="G16" s="28">
        <f>(Fuentes!G9/Fuentes!G7)*100</f>
        <v>35.6595054400442</v>
      </c>
      <c r="H16" s="28">
        <f>(Fuentes!H9/Fuentes!H7)*100</f>
        <v>37.149405907247363</v>
      </c>
      <c r="I16" s="28">
        <f>(Fuentes!I9/Fuentes!I7)*100</f>
        <v>36.434258793018934</v>
      </c>
      <c r="J16" s="28">
        <f>(Fuentes!J9/Fuentes!J7)*100</f>
        <v>35.0834211872588</v>
      </c>
      <c r="K16" s="28">
        <f>(Fuentes!K9/Fuentes!K7)*100</f>
        <v>37.556235892744411</v>
      </c>
      <c r="L16" s="28">
        <f>(Fuentes!L9/Fuentes!L7)*100</f>
        <v>34.370323190523976</v>
      </c>
      <c r="M16" s="28">
        <f>(Fuentes!M9/Fuentes!M7)*100</f>
        <v>35.01015525698098</v>
      </c>
      <c r="N16" s="36">
        <f>(Fuentes!N9/Fuentes!N7)*100</f>
        <v>35.913833204738445</v>
      </c>
      <c r="O16" s="28">
        <f>(Fuentes!O9/Fuentes!O7)*100</f>
        <v>35.593389080994825</v>
      </c>
      <c r="P16" s="28">
        <f>(Fuentes!P9/Fuentes!P7)*100</f>
        <v>34.93949772836509</v>
      </c>
      <c r="Q16" s="28">
        <f>(Fuentes!Q9/Fuentes!Q7)*100</f>
        <v>35.466981823093938</v>
      </c>
      <c r="R16" s="28">
        <f>(Fuentes!R9/Fuentes!R7)*100</f>
        <v>36.523779769156548</v>
      </c>
      <c r="S16" s="28">
        <f>(Fuentes!S9/Fuentes!S7)*100</f>
        <v>36.119036315500161</v>
      </c>
      <c r="T16" s="28">
        <f>(Fuentes!T9/Fuentes!T7)*100</f>
        <v>33.444646912963968</v>
      </c>
      <c r="U16" s="28">
        <f>(Fuentes!U9/Fuentes!U7)*100</f>
        <v>35.786422980473915</v>
      </c>
      <c r="V16" s="28">
        <f>(Fuentes!V9/Fuentes!V7)*100</f>
        <v>26.404785600093838</v>
      </c>
    </row>
    <row r="17" spans="1:22" s="14" customFormat="1" ht="12.75" x14ac:dyDescent="0.2">
      <c r="A17" s="28" t="s">
        <v>2988</v>
      </c>
      <c r="B17" s="29" t="s">
        <v>3001</v>
      </c>
      <c r="C17" s="29">
        <f>(Fuentes!C24/Fuentes!C7)*100</f>
        <v>25.471833375491382</v>
      </c>
      <c r="D17" s="30">
        <f>(Fuentes!D24/Fuentes!D7)*100</f>
        <v>20.590100890511096</v>
      </c>
      <c r="E17" s="35">
        <f>(Fuentes!E24/Fuentes!E7)*100</f>
        <v>22.249251172020436</v>
      </c>
      <c r="F17" s="28">
        <f>(Fuentes!F24/Fuentes!F7)*100</f>
        <v>22.473473046241917</v>
      </c>
      <c r="G17" s="28">
        <f>(Fuentes!G24/Fuentes!G7)*100</f>
        <v>19.349609984906792</v>
      </c>
      <c r="H17" s="36">
        <f>(Fuentes!H24/Fuentes!H7)*100</f>
        <v>19.78243219911456</v>
      </c>
      <c r="I17" s="28">
        <f>(Fuentes!I24/Fuentes!I7)*100</f>
        <v>19.614817999223249</v>
      </c>
      <c r="J17" s="28">
        <f>(Fuentes!J24/Fuentes!J7)*100</f>
        <v>19.570559670698302</v>
      </c>
      <c r="K17" s="28">
        <f>(Fuentes!K24/Fuentes!K7)*100</f>
        <v>19.948512406678621</v>
      </c>
      <c r="L17" s="28">
        <f>(Fuentes!L24/Fuentes!L7)*100</f>
        <v>20.272494057762049</v>
      </c>
      <c r="M17" s="28">
        <f>(Fuentes!M24/Fuentes!M7)*100</f>
        <v>20.928108744296619</v>
      </c>
      <c r="N17" s="28">
        <f>(Fuentes!N24/Fuentes!N7)*100</f>
        <v>21.25528020111301</v>
      </c>
      <c r="O17" s="28">
        <f>(Fuentes!O24/Fuentes!O7)*100</f>
        <v>20.96975793595227</v>
      </c>
      <c r="P17" s="28">
        <f>(Fuentes!P24/Fuentes!P7)*100</f>
        <v>20.970196421711851</v>
      </c>
      <c r="Q17" s="28">
        <f>(Fuentes!Q24/Fuentes!Q7)*100</f>
        <v>20.657664243426034</v>
      </c>
      <c r="R17" s="28">
        <f>(Fuentes!R24/Fuentes!R7)*100</f>
        <v>21.168921018758297</v>
      </c>
      <c r="S17" s="28">
        <f>(Fuentes!S24/Fuentes!S7)*100</f>
        <v>20.952170064277631</v>
      </c>
      <c r="T17" s="28">
        <f>(Fuentes!T24/Fuentes!T7)*100</f>
        <v>20.169571143197121</v>
      </c>
      <c r="U17" s="28">
        <f>(Fuentes!U24/Fuentes!U7)*100</f>
        <v>20.133722063724051</v>
      </c>
      <c r="V17" s="28">
        <f>(Fuentes!V24/Fuentes!V7)*100</f>
        <v>15.712456589385662</v>
      </c>
    </row>
    <row r="18" spans="1:22" s="14" customFormat="1" ht="12.75" x14ac:dyDescent="0.2">
      <c r="A18" s="28" t="s">
        <v>2988</v>
      </c>
      <c r="B18" s="29" t="s">
        <v>3002</v>
      </c>
      <c r="C18" s="29">
        <f>(Fuentes!C25/Fuentes!C7)*100</f>
        <v>14.115733598438066</v>
      </c>
      <c r="D18" s="30">
        <f>(Fuentes!D25/Fuentes!D7)*100</f>
        <v>11.093650811318565</v>
      </c>
      <c r="E18" s="35">
        <f>(Fuentes!E25/Fuentes!E7)*100</f>
        <v>10.909582900967784</v>
      </c>
      <c r="F18" s="28">
        <f>(Fuentes!F25/Fuentes!F7)*100</f>
        <v>10.944234654748684</v>
      </c>
      <c r="G18" s="28">
        <f>(Fuentes!G25/Fuentes!G7)*100</f>
        <v>10.601620430857354</v>
      </c>
      <c r="H18" s="28">
        <f>(Fuentes!H25/Fuentes!H7)*100</f>
        <v>11.483425482373072</v>
      </c>
      <c r="I18" s="28">
        <f>(Fuentes!I25/Fuentes!I7)*100</f>
        <v>11.524258585671214</v>
      </c>
      <c r="J18" s="28">
        <f>(Fuentes!J25/Fuentes!J7)*100</f>
        <v>11.154650045836036</v>
      </c>
      <c r="K18" s="28">
        <f>(Fuentes!K25/Fuentes!K7)*100</f>
        <v>11.787734924699258</v>
      </c>
      <c r="L18" s="28">
        <f>(Fuentes!L25/Fuentes!L7)*100</f>
        <v>12.297290005770153</v>
      </c>
      <c r="M18" s="28">
        <f>(Fuentes!M25/Fuentes!M7)*100</f>
        <v>13.49609142327696</v>
      </c>
      <c r="N18" s="36">
        <f>(Fuentes!N25/Fuentes!N7)*100</f>
        <v>13.69876903979722</v>
      </c>
      <c r="O18" s="28">
        <f>(Fuentes!O25/Fuentes!O7)*100</f>
        <v>12.345298083868178</v>
      </c>
      <c r="P18" s="28">
        <f>(Fuentes!P25/Fuentes!P7)*100</f>
        <v>12.181622052630933</v>
      </c>
      <c r="Q18" s="28">
        <f>(Fuentes!Q25/Fuentes!Q7)*100</f>
        <v>12.043825676817596</v>
      </c>
      <c r="R18" s="28">
        <f>(Fuentes!R25/Fuentes!R7)*100</f>
        <v>12.2735269069097</v>
      </c>
      <c r="S18" s="28">
        <f>(Fuentes!S25/Fuentes!S7)*100</f>
        <v>11.862145357708918</v>
      </c>
      <c r="T18" s="28">
        <f>(Fuentes!T25/Fuentes!T7)*100</f>
        <v>11.630488732188784</v>
      </c>
      <c r="U18" s="28">
        <f>(Fuentes!U25/Fuentes!U7)*100</f>
        <v>11.441445556832109</v>
      </c>
      <c r="V18" s="28">
        <f>(Fuentes!V25/Fuentes!V7)*100</f>
        <v>8.3883498232128559</v>
      </c>
    </row>
    <row r="19" spans="1:22" s="14" customFormat="1" ht="12.75" x14ac:dyDescent="0.2">
      <c r="A19" s="28" t="s">
        <v>2988</v>
      </c>
      <c r="B19" s="29" t="s">
        <v>3003</v>
      </c>
      <c r="C19" s="29">
        <f>(Fuentes!C26/Fuentes!C7)*100</f>
        <v>8.821465823491998</v>
      </c>
      <c r="D19" s="30">
        <f>(Fuentes!D26/Fuentes!D7)*100</f>
        <v>6.8402211386401053</v>
      </c>
      <c r="E19" s="35">
        <f>(Fuentes!E26/Fuentes!E7)*100</f>
        <v>7.2093199660635694</v>
      </c>
      <c r="F19" s="28">
        <f>(Fuentes!F26/Fuentes!F7)*100</f>
        <v>7.1863380874850726</v>
      </c>
      <c r="G19" s="28">
        <f>(Fuentes!G26/Fuentes!G7)*100</f>
        <v>6.8993214757541184</v>
      </c>
      <c r="H19" s="36">
        <f>(Fuentes!H26/Fuentes!H7)*100</f>
        <v>6.8433849727735874</v>
      </c>
      <c r="I19" s="28">
        <f>(Fuentes!I26/Fuentes!I7)*100</f>
        <v>6.9839107640511155</v>
      </c>
      <c r="J19" s="28">
        <f>(Fuentes!J26/Fuentes!J7)*100</f>
        <v>6.7336838724532333</v>
      </c>
      <c r="K19" s="28">
        <f>(Fuentes!K26/Fuentes!K7)*100</f>
        <v>7.3016324067944742</v>
      </c>
      <c r="L19" s="28">
        <f>(Fuentes!L26/Fuentes!L7)*100</f>
        <v>7.3970925312642741</v>
      </c>
      <c r="M19" s="28">
        <f>(Fuentes!M26/Fuentes!M7)*100</f>
        <v>7.9252730172322066</v>
      </c>
      <c r="N19" s="28">
        <f>(Fuentes!N26/Fuentes!N7)*100</f>
        <v>7.6287146590825099</v>
      </c>
      <c r="O19" s="28">
        <f>(Fuentes!O26/Fuentes!O7)*100</f>
        <v>8.0195714396730011</v>
      </c>
      <c r="P19" s="28">
        <f>(Fuentes!P26/Fuentes!P7)*100</f>
        <v>8.0733904019309506</v>
      </c>
      <c r="Q19" s="28">
        <f>(Fuentes!Q26/Fuentes!Q7)*100</f>
        <v>8.2373586215002987</v>
      </c>
      <c r="R19" s="28">
        <f>(Fuentes!R26/Fuentes!R7)*100</f>
        <v>8.2356061207421813</v>
      </c>
      <c r="S19" s="28">
        <f>(Fuentes!S26/Fuentes!S7)*100</f>
        <v>8.156101500116705</v>
      </c>
      <c r="T19" s="28">
        <f>(Fuentes!T26/Fuentes!T7)*100</f>
        <v>7.7259482950818432</v>
      </c>
      <c r="U19" s="28">
        <f>(Fuentes!U26/Fuentes!U7)*100</f>
        <v>8.5689891921387389</v>
      </c>
      <c r="V19" s="28">
        <f>(Fuentes!V26/Fuentes!V7)*100</f>
        <v>6.291226196857874</v>
      </c>
    </row>
    <row r="20" spans="1:22" s="14" customFormat="1" ht="12.75" x14ac:dyDescent="0.2">
      <c r="A20" s="28" t="s">
        <v>2988</v>
      </c>
      <c r="B20" s="29" t="s">
        <v>3004</v>
      </c>
      <c r="C20" s="29"/>
      <c r="D20" s="30"/>
      <c r="E20" s="35"/>
      <c r="F20" s="28"/>
      <c r="G20" s="28"/>
      <c r="H20" s="28"/>
      <c r="I20" s="28"/>
      <c r="J20" s="28"/>
      <c r="K20" s="28"/>
      <c r="L20" s="28"/>
      <c r="M20" s="28"/>
      <c r="N20" s="36"/>
      <c r="O20" s="28">
        <f>(Fuentes!O30/Fuentes!O7)*100</f>
        <v>1.7907833718427251</v>
      </c>
      <c r="P20" s="28">
        <f>(Fuentes!P30/Fuentes!P7)*100</f>
        <v>2.0888324929746269</v>
      </c>
      <c r="Q20" s="28">
        <f>(Fuentes!Q30/Fuentes!Q7)*100</f>
        <v>2.0073892793065982</v>
      </c>
      <c r="R20" s="28">
        <f>(Fuentes!R30/Fuentes!R7)*100</f>
        <v>1.8882804490581477</v>
      </c>
      <c r="S20" s="28">
        <f>(Fuentes!S30/Fuentes!S7)*100</f>
        <v>2.1266153925003972</v>
      </c>
      <c r="T20" s="28">
        <f>(Fuentes!T30/Fuentes!T7)*100</f>
        <v>1.9028799338892597</v>
      </c>
      <c r="U20" s="28">
        <f>(Fuentes!U30/Fuentes!U7)*100</f>
        <v>1.9023999455409879</v>
      </c>
      <c r="V20" s="28">
        <f>(Fuentes!V30/Fuentes!V7)*100</f>
        <v>1.4874161035469133</v>
      </c>
    </row>
    <row r="21" spans="1:22" s="14" customFormat="1" ht="12.75" x14ac:dyDescent="0.2">
      <c r="A21" s="28" t="s">
        <v>2988</v>
      </c>
      <c r="B21" s="29" t="s">
        <v>3005</v>
      </c>
      <c r="C21" s="29">
        <f>((Fuentes!C27+Fuentes!C28+Fuentes!C29+Fuentes!C31)/Fuentes!C7)*100</f>
        <v>0.29471832622062638</v>
      </c>
      <c r="D21" s="30"/>
      <c r="E21" s="35"/>
      <c r="F21" s="28"/>
      <c r="G21" s="28">
        <f>((Fuentes!G27+Fuentes!G28+Fuentes!G29+Fuentes!G31)/Fuentes!G7)*100</f>
        <v>5.3956187609912813</v>
      </c>
      <c r="H21" s="36">
        <f>((Fuentes!H27+Fuentes!H28+Fuentes!H29+Fuentes!H31)/Fuentes!H7)*100</f>
        <v>3.8280800162025042</v>
      </c>
      <c r="I21" s="28">
        <f>((Fuentes!I27+Fuentes!I28+Fuentes!I29+Fuentes!I31)/Fuentes!I7)*100</f>
        <v>5.483029191993503</v>
      </c>
      <c r="J21" s="28">
        <f>((Fuentes!J27+Fuentes!J28+Fuentes!J29+Fuentes!J31)/Fuentes!J7)*100</f>
        <v>7.1589104234058922</v>
      </c>
      <c r="K21" s="28">
        <f>((Fuentes!K27+Fuentes!K28+Fuentes!K29+Fuentes!K31)/Fuentes!K7)*100</f>
        <v>3.1737197150360457</v>
      </c>
      <c r="L21" s="28">
        <f>((Fuentes!L27+Fuentes!L28+Fuentes!L29+Fuentes!L31)/Fuentes!L7)*100</f>
        <v>2.4938981989284237</v>
      </c>
      <c r="M21" s="28">
        <f>((Fuentes!M27+Fuentes!M28+Fuentes!M29+Fuentes!M31)/Fuentes!M7)*100</f>
        <v>2.1797576065752025</v>
      </c>
      <c r="N21" s="28">
        <f>((Fuentes!N27+Fuentes!N28+Fuentes!N29+Fuentes!N31)/Fuentes!N7)*100</f>
        <v>2.1639495467188303</v>
      </c>
      <c r="O21" s="28">
        <f>((Fuentes!O27+Fuentes!O28+Fuentes!O29+Fuentes!O31)/Fuentes!O7)*100</f>
        <v>2.028313393290111</v>
      </c>
      <c r="P21" s="28">
        <f>((Fuentes!P27+Fuentes!P28+Fuentes!P29+Fuentes!P31)/Fuentes!P7)*100</f>
        <v>1.8577140946404547</v>
      </c>
      <c r="Q21" s="28">
        <f>((Fuentes!Q27+Fuentes!Q28+Fuentes!Q29+Fuentes!Q31)/Fuentes!Q7)*100</f>
        <v>1.8616060550713447</v>
      </c>
      <c r="R21" s="28"/>
      <c r="S21" s="28"/>
      <c r="T21" s="28"/>
      <c r="U21" s="28"/>
      <c r="V21" s="28"/>
    </row>
    <row r="22" spans="1:22" s="14" customFormat="1" ht="12.75" x14ac:dyDescent="0.2">
      <c r="A22" s="28" t="s">
        <v>2988</v>
      </c>
      <c r="B22" s="29" t="s">
        <v>3006</v>
      </c>
      <c r="C22" s="29">
        <f>(Fuentes!C7/Fuentes!C34)*100</f>
        <v>5.0120777573747164</v>
      </c>
      <c r="D22" s="30">
        <f>(Fuentes!D7/Fuentes!D34)*100</f>
        <v>6.3597828265585008</v>
      </c>
      <c r="E22" s="35">
        <f>(Fuentes!E7/Fuentes!E34)*100</f>
        <v>6.7851514631078773</v>
      </c>
      <c r="F22" s="28">
        <f>(Fuentes!F7/Fuentes!F34)*100</f>
        <v>6.5039867187376741</v>
      </c>
      <c r="G22" s="28">
        <f>(Fuentes!G7/Fuentes!G34)*100</f>
        <v>6.9554975988956436</v>
      </c>
      <c r="H22" s="28">
        <f>(Fuentes!H7/Fuentes!H34)*100</f>
        <v>7.0012415464388305</v>
      </c>
      <c r="I22" s="28">
        <f>(Fuentes!I7/Fuentes!I34)*100</f>
        <v>6.7594848403300309</v>
      </c>
      <c r="J22" s="28">
        <f>(Fuentes!J7/Fuentes!J34)*100</f>
        <v>6.4189607536715192</v>
      </c>
      <c r="K22" s="28">
        <f>(Fuentes!K7/Fuentes!K34)*100</f>
        <v>6.1973885345211803</v>
      </c>
      <c r="L22" s="28">
        <f>(Fuentes!L7/Fuentes!L34)*100</f>
        <v>6.3337155902327389</v>
      </c>
      <c r="M22" s="28">
        <f>(Fuentes!M7/Fuentes!M34)*100</f>
        <v>7.8349970146419174</v>
      </c>
      <c r="N22" s="36">
        <f>(Fuentes!N7/Fuentes!N34)*100</f>
        <v>8.2713086030845595</v>
      </c>
      <c r="O22" s="28">
        <f>(Fuentes!O7/Fuentes!O34)*100</f>
        <v>8.3327161343543068</v>
      </c>
      <c r="P22" s="28">
        <f>(Fuentes!P7/Fuentes!P34)*100</f>
        <v>8.4448813167323014</v>
      </c>
      <c r="Q22" s="28">
        <f>(Fuentes!Q7/Fuentes!Q34)*100</f>
        <v>8.8802244936998918</v>
      </c>
      <c r="R22" s="28">
        <f>(Fuentes!R7/Fuentes!R34)*100</f>
        <v>8.7471732258329649</v>
      </c>
      <c r="S22" s="28">
        <f>(Fuentes!S7/Fuentes!S34)*100</f>
        <v>8.9013241175025737</v>
      </c>
      <c r="T22" s="28">
        <f>(Fuentes!T7/Fuentes!T34)*100</f>
        <v>9.0199250039580079</v>
      </c>
      <c r="U22" s="28">
        <f>(Fuentes!U7/Fuentes!U34)*100</f>
        <v>8.5869093276189172</v>
      </c>
      <c r="V22" s="28">
        <f>(Fuentes!V7/Fuentes!V34)*100</f>
        <v>12.137183009729586</v>
      </c>
    </row>
    <row r="23" spans="1:22" s="14" customFormat="1" ht="12.75" x14ac:dyDescent="0.2">
      <c r="A23" s="28" t="s">
        <v>2988</v>
      </c>
      <c r="B23" s="29" t="s">
        <v>3007</v>
      </c>
      <c r="C23" s="29">
        <f>(Fuentes!C4/Fuentes!C34)*100</f>
        <v>6.1837875183799822</v>
      </c>
      <c r="D23" s="30">
        <f>(Fuentes!D4/Fuentes!D34)*100</f>
        <v>6.6582912807324783</v>
      </c>
      <c r="E23" s="35">
        <f>(Fuentes!E4/Fuentes!E34)*100</f>
        <v>7.3052795689687144</v>
      </c>
      <c r="F23" s="28">
        <f>(Fuentes!F4/Fuentes!F34)*100</f>
        <v>7.1034162117763362</v>
      </c>
      <c r="G23" s="28">
        <f>(Fuentes!G4/Fuentes!G34)*100</f>
        <v>7.3060847669198541</v>
      </c>
      <c r="H23" s="36">
        <f>(Fuentes!H4/Fuentes!H34)*100</f>
        <v>7.5896627701851083</v>
      </c>
      <c r="I23" s="28">
        <f>(Fuentes!I4/Fuentes!I34)*100</f>
        <v>7.0595620766419103</v>
      </c>
      <c r="J23" s="28">
        <f>(Fuentes!J4/Fuentes!J34)*100</f>
        <v>6.618335031296418</v>
      </c>
      <c r="K23" s="28">
        <f>(Fuentes!K4/Fuentes!K34)*100</f>
        <v>6.2735572580002259</v>
      </c>
      <c r="L23" s="28">
        <f>(Fuentes!L4/Fuentes!L34)*100</f>
        <v>7.1241737376150516</v>
      </c>
      <c r="M23" s="28">
        <f>(Fuentes!M4/Fuentes!M34)*100</f>
        <v>8.3997298911019591</v>
      </c>
      <c r="N23" s="28">
        <f>(Fuentes!N4/Fuentes!N34)*100</f>
        <v>8.763987474110067</v>
      </c>
      <c r="O23" s="28">
        <f>(Fuentes!O4/Fuentes!O34)*100</f>
        <v>8.9068244874457392</v>
      </c>
      <c r="P23" s="28">
        <f>(Fuentes!P4/Fuentes!P34)*100</f>
        <v>8.5939969998609875</v>
      </c>
      <c r="Q23" s="28">
        <f>(Fuentes!Q4/Fuentes!Q34)*100</f>
        <v>9.2450078254326158</v>
      </c>
      <c r="R23" s="28">
        <f>(Fuentes!R4/Fuentes!R34)*100</f>
        <v>9.6063611928379444</v>
      </c>
      <c r="S23" s="28">
        <f>(Fuentes!S4/Fuentes!S34)*100</f>
        <v>9.5781484176269078</v>
      </c>
      <c r="T23" s="28">
        <f>(Fuentes!T4/Fuentes!T34)*100</f>
        <v>9.4881595233429294</v>
      </c>
      <c r="U23" s="28">
        <f>(Fuentes!U4/Fuentes!U34)*100</f>
        <v>9.1582684252704638</v>
      </c>
      <c r="V23" s="28">
        <f>(Fuentes!V4/Fuentes!V34)*100</f>
        <v>9.3060744507583646</v>
      </c>
    </row>
    <row r="24" spans="1:22" s="14" customFormat="1" ht="12.75" x14ac:dyDescent="0.2">
      <c r="A24" s="28" t="s">
        <v>2988</v>
      </c>
      <c r="B24" s="29" t="s">
        <v>3008</v>
      </c>
      <c r="C24" s="29">
        <f>((Fuentes!C5/Fuentes!C4)-1)*100</f>
        <v>4.740928798046995</v>
      </c>
      <c r="D24" s="30">
        <f>((Fuentes!D5/Fuentes!D4)-1)*100</f>
        <v>3.7286967620053346</v>
      </c>
      <c r="E24" s="35">
        <f>((Fuentes!E5/Fuentes!E4)-1)*100</f>
        <v>2.970864262091033</v>
      </c>
      <c r="F24" s="28">
        <f>((Fuentes!F5/Fuentes!F4)-1)*100</f>
        <v>3.0526262803098225</v>
      </c>
      <c r="G24" s="28">
        <f>((Fuentes!G5/Fuentes!G4)-1)*100</f>
        <v>1.2605467181861618</v>
      </c>
      <c r="H24" s="28">
        <f>((Fuentes!H5/Fuentes!H4)-1)*100</f>
        <v>3.3976049821959897E-2</v>
      </c>
      <c r="I24" s="28">
        <f>((Fuentes!I5/Fuentes!I4)-1)*100</f>
        <v>6.3290854823705445E-4</v>
      </c>
      <c r="J24" s="28">
        <f>((Fuentes!J5/Fuentes!J4)-1)*100</f>
        <v>2.3627297541966241</v>
      </c>
      <c r="K24" s="28">
        <f>((Fuentes!K5/Fuentes!K4)-1)*100</f>
        <v>10.871411237123919</v>
      </c>
      <c r="L24" s="28">
        <f>((Fuentes!L5/Fuentes!L4)-1)*100</f>
        <v>-1.9483555748315173</v>
      </c>
      <c r="M24" s="28">
        <f>((Fuentes!M5/Fuentes!M4)-1)*100</f>
        <v>1.4400636792352817</v>
      </c>
      <c r="N24" s="36">
        <f>((Fuentes!N5/Fuentes!N4)-1)*100</f>
        <v>0</v>
      </c>
      <c r="O24" s="28">
        <f>((Fuentes!O5/Fuentes!O4)-1)*100</f>
        <v>0</v>
      </c>
      <c r="P24" s="28">
        <f>((Fuentes!P5/Fuentes!P4)-1)*100</f>
        <v>1.4509349625506873</v>
      </c>
      <c r="Q24" s="28">
        <f>((Fuentes!Q5/Fuentes!Q4)-1)*100</f>
        <v>0.28745720788050377</v>
      </c>
      <c r="R24" s="28">
        <f>((Fuentes!R5/Fuentes!R4)-1)*100</f>
        <v>-1.2212499008585675</v>
      </c>
      <c r="S24" s="28">
        <f>((Fuentes!S5/Fuentes!S4)-1)*100</f>
        <v>-0.3123847762505072</v>
      </c>
      <c r="T24" s="28">
        <f>((Fuentes!T5/Fuentes!T4)-1)*100</f>
        <v>1.2393531019415871</v>
      </c>
      <c r="U24" s="28">
        <f>((Fuentes!U5/Fuentes!U4)-1)*100</f>
        <v>-1.2871299789571022</v>
      </c>
      <c r="V24" s="28">
        <f>((Fuentes!V5/Fuentes!V4)-1)*100</f>
        <v>3.8451713689813261E-2</v>
      </c>
    </row>
    <row r="25" spans="1:22" s="14" customFormat="1" ht="12.75" x14ac:dyDescent="0.2">
      <c r="A25" s="28" t="s">
        <v>2988</v>
      </c>
      <c r="B25" s="29" t="s">
        <v>3009</v>
      </c>
      <c r="C25" s="29">
        <f>Fuentes!C7/Fuentes!C47/365</f>
        <v>21.613261401630499</v>
      </c>
      <c r="D25" s="30">
        <f>Fuentes!D7/Fuentes!D47/365</f>
        <v>31.136635401124089</v>
      </c>
      <c r="E25" s="35">
        <f>Fuentes!E7/Fuentes!E47/365</f>
        <v>36.445675483335719</v>
      </c>
      <c r="F25" s="28">
        <f>Fuentes!F7/Fuentes!F47/365</f>
        <v>41.510487764525848</v>
      </c>
      <c r="G25" s="28">
        <f>Fuentes!G7/Fuentes!G47/365</f>
        <v>49.101963610446226</v>
      </c>
      <c r="H25" s="36">
        <f>Fuentes!H7/Fuentes!H47/365</f>
        <v>55.106686490075511</v>
      </c>
      <c r="I25" s="28">
        <f>Fuentes!I7/Fuentes!I47/365</f>
        <v>63.787838832555181</v>
      </c>
      <c r="J25" s="28">
        <f>Fuentes!J7/Fuentes!J47/365</f>
        <v>75.737175302755915</v>
      </c>
      <c r="K25" s="28">
        <f>Fuentes!K7/Fuentes!K47/365</f>
        <v>93.335708079199236</v>
      </c>
      <c r="L25" s="28">
        <f>Fuentes!L7/Fuentes!L47/365</f>
        <v>114.34859464506827</v>
      </c>
      <c r="M25" s="28">
        <f>Fuentes!M7/Fuentes!M47/365</f>
        <v>132.78854419873085</v>
      </c>
      <c r="N25" s="28">
        <f>Fuentes!N7/Fuentes!N47/365</f>
        <v>149.95861196449181</v>
      </c>
      <c r="O25" s="28">
        <f>Fuentes!O7/Fuentes!O47/365</f>
        <v>160.52525941307965</v>
      </c>
      <c r="P25" s="28">
        <f>Fuentes!P7/Fuentes!P47/365</f>
        <v>179.60151924137026</v>
      </c>
      <c r="Q25" s="28">
        <f>Fuentes!Q7/Fuentes!Q47/365</f>
        <v>194.20270554094802</v>
      </c>
      <c r="R25" s="28">
        <f>Fuentes!R7/Fuentes!R47/365</f>
        <v>208.2923947946619</v>
      </c>
      <c r="S25" s="28">
        <f>Fuentes!S7/Fuentes!S47/365</f>
        <v>216.66650777547528</v>
      </c>
      <c r="T25" s="28">
        <f>Fuentes!T7/Fuentes!T47/365</f>
        <v>242.28662384698671</v>
      </c>
      <c r="U25" s="28">
        <f>Fuentes!U7/Fuentes!U47/365</f>
        <v>243.76391723658881</v>
      </c>
      <c r="V25" s="28">
        <f>Fuentes!V7/Fuentes!V47/365</f>
        <v>334.4337036798139</v>
      </c>
    </row>
    <row r="26" spans="1:22" s="14" customFormat="1" ht="12.75" x14ac:dyDescent="0.2">
      <c r="A26" s="28" t="s">
        <v>2988</v>
      </c>
      <c r="B26" s="29" t="s">
        <v>3010</v>
      </c>
      <c r="C26" s="29">
        <f>(Fuentes!C8/Fuentes!C47)/365</f>
        <v>0</v>
      </c>
      <c r="D26" s="30">
        <f>(Fuentes!D8/Fuentes!D47)/365</f>
        <v>6.3588754399207961</v>
      </c>
      <c r="E26" s="35">
        <f>(Fuentes!E8/Fuentes!E47)/365</f>
        <v>7.1983301383039127</v>
      </c>
      <c r="F26" s="28">
        <f>(Fuentes!F8/Fuentes!F47)/365</f>
        <v>8.5923835716268204</v>
      </c>
      <c r="G26" s="28">
        <f>(Fuentes!G8/Fuentes!G47)/365</f>
        <v>10.848746885008385</v>
      </c>
      <c r="H26" s="28">
        <f>(Fuentes!H8/Fuentes!H47)/365</f>
        <v>11.524610917499309</v>
      </c>
      <c r="I26" s="28">
        <f>(Fuentes!I8/Fuentes!I47)/365</f>
        <v>12.731877001396624</v>
      </c>
      <c r="J26" s="28">
        <f>(Fuentes!J8/Fuentes!J47)/365</f>
        <v>15.373718654851009</v>
      </c>
      <c r="K26" s="28">
        <f>(Fuentes!K8/Fuentes!K47)/365</f>
        <v>18.883834139604417</v>
      </c>
      <c r="L26" s="28">
        <f>(Fuentes!L8/Fuentes!L47)/365</f>
        <v>26.493313849704307</v>
      </c>
      <c r="M26" s="28">
        <f>(Fuentes!M8/Fuentes!M47)/365</f>
        <v>27.169351400502556</v>
      </c>
      <c r="N26" s="36">
        <f>(Fuentes!N8/Fuentes!N47)/365</f>
        <v>29.001175803005992</v>
      </c>
      <c r="O26" s="28">
        <f>(Fuentes!O8/Fuentes!O47)/365</f>
        <v>30.905746310657999</v>
      </c>
      <c r="P26" s="28">
        <f>(Fuentes!P8/Fuentes!P47)/365</f>
        <v>35.720491424781535</v>
      </c>
      <c r="Q26" s="28">
        <f>(Fuentes!Q8/Fuentes!Q47)/365</f>
        <v>38.306822164790681</v>
      </c>
      <c r="R26" s="28">
        <f>(Fuentes!R8/Fuentes!R47)/365</f>
        <v>41.470777799093632</v>
      </c>
      <c r="S26" s="28">
        <f>(Fuentes!S8/Fuentes!S47)/365</f>
        <v>45.031818277605552</v>
      </c>
      <c r="T26" s="28">
        <f>(Fuentes!T8/Fuentes!T47)/365</f>
        <v>60.878063698628338</v>
      </c>
      <c r="U26" s="28">
        <f>(Fuentes!U8/Fuentes!U47)/365</f>
        <v>54.035196923549293</v>
      </c>
      <c r="V26" s="28">
        <f>(Fuentes!V8/Fuentes!V47)/365</f>
        <v>51.205077773994169</v>
      </c>
    </row>
    <row r="27" spans="1:22" s="14" customFormat="1" ht="12.75" x14ac:dyDescent="0.2">
      <c r="A27" s="28" t="s">
        <v>2988</v>
      </c>
      <c r="B27" s="29" t="s">
        <v>3011</v>
      </c>
      <c r="C27" s="29">
        <f>Fuentes!C9/Fuentes!C47/365</f>
        <v>11.086792358878187</v>
      </c>
      <c r="D27" s="30">
        <f>Fuentes!D9/Fuentes!D47/365</f>
        <v>12.782690995838154</v>
      </c>
      <c r="E27" s="35">
        <f>Fuentes!E9/Fuentes!E47/365</f>
        <v>14.534898925345914</v>
      </c>
      <c r="F27" s="28">
        <f>Fuentes!F9/Fuentes!F47/365</f>
        <v>16.063166733971364</v>
      </c>
      <c r="G27" s="28">
        <f>Fuentes!G9/Fuentes!G47/365</f>
        <v>17.509517384835597</v>
      </c>
      <c r="H27" s="36">
        <f>Fuentes!H9/Fuentes!H47/365</f>
        <v>20.471806646232395</v>
      </c>
      <c r="I27" s="28">
        <f>Fuentes!I9/Fuentes!I47/365</f>
        <v>23.240626278726982</v>
      </c>
      <c r="J27" s="28">
        <f>Fuentes!J9/Fuentes!J47/365</f>
        <v>26.571192206798411</v>
      </c>
      <c r="K27" s="28">
        <f>Fuentes!K9/Fuentes!K47/365</f>
        <v>35.05337869838737</v>
      </c>
      <c r="L27" s="28">
        <f>Fuentes!L9/Fuentes!L47/365</f>
        <v>39.301981543332154</v>
      </c>
      <c r="M27" s="28">
        <f>Fuentes!M9/Fuentes!M47/365</f>
        <v>46.489475487460474</v>
      </c>
      <c r="N27" s="28">
        <f>Fuentes!N9/Fuentes!N47/365</f>
        <v>53.855885777068529</v>
      </c>
      <c r="O27" s="28">
        <f>Fuentes!O9/Fuentes!O47/365</f>
        <v>57.136380156173701</v>
      </c>
      <c r="P27" s="28">
        <f>Fuentes!P9/Fuentes!P47/365</f>
        <v>62.751868735447751</v>
      </c>
      <c r="Q27" s="28">
        <f>Fuentes!Q9/Fuentes!Q47/365</f>
        <v>68.877838274164674</v>
      </c>
      <c r="R27" s="28">
        <f>Fuentes!R9/Fuentes!R47/365</f>
        <v>76.076255550704417</v>
      </c>
      <c r="S27" s="28">
        <f>Fuentes!S9/Fuentes!S47/365</f>
        <v>78.257854626949907</v>
      </c>
      <c r="T27" s="28">
        <f>Fuentes!T9/Fuentes!T47/365</f>
        <v>81.031905862965871</v>
      </c>
      <c r="U27" s="28">
        <f>Fuentes!U9/Fuentes!U47/365</f>
        <v>87.234386496058036</v>
      </c>
      <c r="V27" s="28">
        <f>Fuentes!V9/Fuentes!V47/365</f>
        <v>88.306502431108015</v>
      </c>
    </row>
    <row r="28" spans="1:22" s="14" customFormat="1" ht="12.75" x14ac:dyDescent="0.2">
      <c r="A28" s="28" t="s">
        <v>2988</v>
      </c>
      <c r="B28" s="29" t="s">
        <v>3012</v>
      </c>
      <c r="C28" s="29">
        <f>Fuentes!C24/Fuentes!C47/365</f>
        <v>5.505293931232714</v>
      </c>
      <c r="D28" s="30">
        <f>Fuentes!D24/Fuentes!D47/365</f>
        <v>6.4110646430020441</v>
      </c>
      <c r="E28" s="35">
        <f>Fuentes!E24/Fuentes!E47/365</f>
        <v>8.1088898796268385</v>
      </c>
      <c r="F28" s="28">
        <f>Fuentes!F24/Fuentes!F47/365</f>
        <v>9.3288482791242657</v>
      </c>
      <c r="G28" s="28">
        <f>Fuentes!G24/Fuentes!G47/365</f>
        <v>9.5010384535522032</v>
      </c>
      <c r="H28" s="28">
        <f>Fuentes!H24/Fuentes!H47/365</f>
        <v>10.90144289207781</v>
      </c>
      <c r="I28" s="28">
        <f>Fuentes!I24/Fuentes!I47/365</f>
        <v>12.511868492643549</v>
      </c>
      <c r="J28" s="28">
        <f>Fuentes!J24/Fuentes!J47/365</f>
        <v>14.822189085527224</v>
      </c>
      <c r="K28" s="28">
        <f>Fuentes!K24/Fuentes!K47/365</f>
        <v>18.619085306040397</v>
      </c>
      <c r="L28" s="28">
        <f>Fuentes!L24/Fuentes!L47/365</f>
        <v>23.181312054555875</v>
      </c>
      <c r="M28" s="28">
        <f>Fuentes!M24/Fuentes!M47/365</f>
        <v>27.790130929878771</v>
      </c>
      <c r="N28" s="36">
        <f>Fuentes!N24/Fuentes!N47/365</f>
        <v>31.874123158752518</v>
      </c>
      <c r="O28" s="28">
        <f>Fuentes!O24/Fuentes!O47/365</f>
        <v>33.66175832498223</v>
      </c>
      <c r="P28" s="28">
        <f>Fuentes!P24/Fuentes!P47/365</f>
        <v>37.662791361293948</v>
      </c>
      <c r="Q28" s="28">
        <f>Fuentes!Q24/Fuentes!Q47/365</f>
        <v>40.117742862298357</v>
      </c>
      <c r="R28" s="28">
        <f>Fuentes!R24/Fuentes!R47/365</f>
        <v>44.09325254216219</v>
      </c>
      <c r="S28" s="28">
        <f>Fuentes!S24/Fuentes!S47/365</f>
        <v>45.396335181448897</v>
      </c>
      <c r="T28" s="28">
        <f>Fuentes!T24/Fuentes!T47/365</f>
        <v>48.868172967268386</v>
      </c>
      <c r="U28" s="28">
        <f>Fuentes!U24/Fuentes!U47/365</f>
        <v>49.078749588061108</v>
      </c>
      <c r="V28" s="28">
        <f>Fuentes!V24/Fuentes!V47/365</f>
        <v>52.54775051096545</v>
      </c>
    </row>
    <row r="29" spans="1:22" s="14" customFormat="1" ht="12.75" x14ac:dyDescent="0.2">
      <c r="A29" s="28" t="s">
        <v>2988</v>
      </c>
      <c r="B29" s="29" t="s">
        <v>3013</v>
      </c>
      <c r="C29" s="29">
        <f>Fuentes!C25/Fuentes!C47/365</f>
        <v>3.0508704013882024</v>
      </c>
      <c r="D29" s="30">
        <f>Fuentes!D25/Fuentes!D47/365</f>
        <v>3.4541896057941059</v>
      </c>
      <c r="E29" s="35">
        <f>Fuentes!E25/Fuentes!E47/365</f>
        <v>3.9760711806722018</v>
      </c>
      <c r="F29" s="28">
        <f>Fuentes!F25/Fuentes!F47/365</f>
        <v>4.5430051872804498</v>
      </c>
      <c r="G29" s="28">
        <f>Fuentes!G25/Fuentes!G47/365</f>
        <v>5.2056038060772112</v>
      </c>
      <c r="H29" s="36">
        <f>Fuentes!H25/Fuentes!H47/365</f>
        <v>6.3281352788927707</v>
      </c>
      <c r="I29" s="28">
        <f>Fuentes!I25/Fuentes!I47/365</f>
        <v>7.3510754932748572</v>
      </c>
      <c r="J29" s="28">
        <f>Fuentes!J25/Fuentes!J47/365</f>
        <v>8.4482168596237806</v>
      </c>
      <c r="K29" s="28">
        <f>Fuentes!K25/Fuentes!K47/365</f>
        <v>11.002165858467116</v>
      </c>
      <c r="L29" s="28">
        <f>Fuentes!L25/Fuentes!L47/365</f>
        <v>14.061778301026605</v>
      </c>
      <c r="M29" s="28">
        <f>Fuentes!M25/Fuentes!M47/365</f>
        <v>17.921263324699247</v>
      </c>
      <c r="N29" s="28">
        <f>Fuentes!N25/Fuentes!N47/365</f>
        <v>20.542483908301453</v>
      </c>
      <c r="O29" s="28">
        <f>Fuentes!O25/Fuentes!O47/365</f>
        <v>19.817321774447343</v>
      </c>
      <c r="P29" s="28">
        <f>Fuentes!P25/Fuentes!P47/365</f>
        <v>21.878378274766952</v>
      </c>
      <c r="Q29" s="28">
        <f>Fuentes!Q25/Fuentes!Q47/365</f>
        <v>23.389435315015163</v>
      </c>
      <c r="R29" s="28">
        <f>Fuentes!R25/Fuentes!R47/365</f>
        <v>25.564823120169404</v>
      </c>
      <c r="S29" s="28">
        <f>Fuentes!S25/Fuentes!S47/365</f>
        <v>25.701296093798572</v>
      </c>
      <c r="T29" s="28">
        <f>Fuentes!T25/Fuentes!T47/365</f>
        <v>28.179118486124416</v>
      </c>
      <c r="U29" s="28">
        <f>Fuentes!U25/Fuentes!U47/365</f>
        <v>27.890115877825593</v>
      </c>
      <c r="V29" s="28">
        <f>Fuentes!V25/Fuentes!V47/365</f>
        <v>28.053468991389877</v>
      </c>
    </row>
    <row r="30" spans="1:22" s="14" customFormat="1" ht="12.75" x14ac:dyDescent="0.2">
      <c r="A30" s="28" t="s">
        <v>2988</v>
      </c>
      <c r="B30" s="29" t="s">
        <v>3014</v>
      </c>
      <c r="C30" s="29">
        <f>Fuentes!C26/Fuentes!C47/365</f>
        <v>1.9066064678868222</v>
      </c>
      <c r="D30" s="30">
        <f>Fuentes!D26/Fuentes!D47/365</f>
        <v>2.1298147165689882</v>
      </c>
      <c r="E30" s="35">
        <f>Fuentes!E26/Fuentes!E47/365</f>
        <v>2.6274853593868572</v>
      </c>
      <c r="F30" s="28">
        <f>Fuentes!F26/Fuentes!F47/365</f>
        <v>2.983083992522952</v>
      </c>
      <c r="G30" s="28">
        <f>Fuentes!G26/Fuentes!G47/365</f>
        <v>3.3877023203924885</v>
      </c>
      <c r="H30" s="28">
        <f>Fuentes!H26/Fuentes!H47/365</f>
        <v>3.7711627022552801</v>
      </c>
      <c r="I30" s="28">
        <f>Fuentes!I26/Fuentes!I47/365</f>
        <v>4.4548857423823982</v>
      </c>
      <c r="J30" s="28">
        <f>Fuentes!J26/Fuentes!J47/365</f>
        <v>5.0999019588133088</v>
      </c>
      <c r="K30" s="28">
        <f>Fuentes!K26/Fuentes!K47/365</f>
        <v>6.8150303082218997</v>
      </c>
      <c r="L30" s="28">
        <f>Fuentes!L26/Fuentes!L47/365</f>
        <v>8.4584713540960035</v>
      </c>
      <c r="M30" s="28">
        <f>Fuentes!M26/Fuentes!M47/365</f>
        <v>10.523854663357479</v>
      </c>
      <c r="N30" s="36">
        <f>Fuentes!N26/Fuentes!N47/365</f>
        <v>11.439914613491846</v>
      </c>
      <c r="O30" s="28">
        <f>Fuentes!O26/Fuentes!O47/365</f>
        <v>12.873437857352332</v>
      </c>
      <c r="P30" s="28">
        <f>Fuentes!P26/Fuentes!P47/365</f>
        <v>14.499931816154959</v>
      </c>
      <c r="Q30" s="28">
        <f>Fuentes!Q26/Fuentes!Q47/365</f>
        <v>15.99717330806412</v>
      </c>
      <c r="R30" s="28">
        <f>Fuentes!R26/Fuentes!R47/365</f>
        <v>17.154141214749643</v>
      </c>
      <c r="S30" s="28">
        <f>Fuentes!S26/Fuentes!S47/365</f>
        <v>17.671540290926014</v>
      </c>
      <c r="T30" s="28">
        <f>Fuentes!T26/Fuentes!T47/365</f>
        <v>18.718939284317628</v>
      </c>
      <c r="U30" s="28">
        <f>Fuentes!U26/Fuentes!U47/365</f>
        <v>20.888103722337316</v>
      </c>
      <c r="V30" s="28">
        <f>Fuentes!V26/Fuentes!V47/365</f>
        <v>21.039980777026493</v>
      </c>
    </row>
    <row r="31" spans="1:22" s="14" customFormat="1" ht="12.75" x14ac:dyDescent="0.2">
      <c r="A31" s="28" t="s">
        <v>2988</v>
      </c>
      <c r="B31" s="29" t="s">
        <v>3015</v>
      </c>
      <c r="C31" s="29">
        <f>Fuentes!C30/Fuentes!C47/365</f>
        <v>0</v>
      </c>
      <c r="D31" s="30">
        <f>Fuentes!D30/Fuentes!D47/365</f>
        <v>0</v>
      </c>
      <c r="E31" s="35">
        <f>Fuentes!E30/Fuentes!E47/365</f>
        <v>0</v>
      </c>
      <c r="F31" s="28">
        <f>Fuentes!F30/Fuentes!F47/365</f>
        <v>0</v>
      </c>
      <c r="G31" s="28">
        <f>Fuentes!G30/Fuentes!G47/365</f>
        <v>0</v>
      </c>
      <c r="H31" s="36">
        <f>Fuentes!H30/Fuentes!H47/365</f>
        <v>0</v>
      </c>
      <c r="I31" s="28">
        <f>Fuentes!I30/Fuentes!I47/365</f>
        <v>0</v>
      </c>
      <c r="J31" s="28">
        <f>Fuentes!J30/Fuentes!J47/365</f>
        <v>0</v>
      </c>
      <c r="K31" s="28">
        <f>Fuentes!K30/Fuentes!K47/365</f>
        <v>0</v>
      </c>
      <c r="L31" s="28">
        <f>Fuentes!L30/Fuentes!L47/365</f>
        <v>0</v>
      </c>
      <c r="M31" s="28">
        <f>Fuentes!M30/Fuentes!M47/365</f>
        <v>0</v>
      </c>
      <c r="N31" s="28">
        <f>Fuentes!N30/Fuentes!N47/365</f>
        <v>0</v>
      </c>
      <c r="O31" s="28">
        <f>Fuentes!O30/Fuentes!O47/365</f>
        <v>2.8746596531768294</v>
      </c>
      <c r="P31" s="28">
        <f>Fuentes!P30/Fuentes!P47/365</f>
        <v>3.7515748917898191</v>
      </c>
      <c r="Q31" s="28">
        <f>Fuentes!Q30/Fuentes!Q47/365</f>
        <v>3.8984042911523518</v>
      </c>
      <c r="R31" s="28">
        <f>Fuentes!R30/Fuentes!R47/365</f>
        <v>3.9331445677826116</v>
      </c>
      <c r="S31" s="28">
        <f>Fuentes!S30/Fuentes!S47/365</f>
        <v>4.6076633047463265</v>
      </c>
      <c r="T31" s="28">
        <f>Fuentes!T30/Fuentes!T47/365</f>
        <v>4.6104235476820605</v>
      </c>
      <c r="U31" s="28">
        <f>Fuentes!U30/Fuentes!U47/365</f>
        <v>4.637364628757445</v>
      </c>
      <c r="V31" s="28">
        <f>Fuentes!V30/Fuentes!V47/365</f>
        <v>4.9744207642219189</v>
      </c>
    </row>
    <row r="32" spans="1:22" s="14" customFormat="1" ht="12.75" x14ac:dyDescent="0.2">
      <c r="A32" s="28" t="s">
        <v>2988</v>
      </c>
      <c r="B32" s="29" t="s">
        <v>3016</v>
      </c>
      <c r="C32" s="29">
        <f>(Fuentes!C27+Fuentes!C28+Fuentes!C29+Fuentes!C31)/Fuentes!C47/365</f>
        <v>6.3698242244574085E-2</v>
      </c>
      <c r="D32" s="30">
        <f>(Fuentes!D27+Fuentes!D28+Fuentes!D29+Fuentes!D31)/Fuentes!D47/365</f>
        <v>0</v>
      </c>
      <c r="E32" s="35">
        <f>(Fuentes!E27+Fuentes!E28+Fuentes!E29+Fuentes!E31)/Fuentes!E47/365</f>
        <v>0</v>
      </c>
      <c r="F32" s="28">
        <f>(Fuentes!F27+Fuentes!F28+Fuentes!F29+Fuentes!F31)/Fuentes!F47/365</f>
        <v>0</v>
      </c>
      <c r="G32" s="28">
        <f>(Fuentes!G27+Fuentes!G28+Fuentes!G29+Fuentes!G31)/Fuentes!G47/365</f>
        <v>2.6493547605803487</v>
      </c>
      <c r="H32" s="28">
        <f>(Fuentes!H27+Fuentes!H28+Fuentes!H29+Fuentes!H31)/Fuentes!H47/365</f>
        <v>2.1095280531179461</v>
      </c>
      <c r="I32" s="28">
        <f>(Fuentes!I27+Fuentes!I28+Fuentes!I29+Fuentes!I31)/Fuentes!I47/365</f>
        <v>3.4975058241307679</v>
      </c>
      <c r="J32" s="28">
        <f>(Fuentes!J27+Fuentes!J28+Fuentes!J29+Fuentes!J31)/Fuentes!J47/365</f>
        <v>5.4219565371421865</v>
      </c>
      <c r="K32" s="28">
        <f>(Fuentes!K27+Fuentes!K28+Fuentes!K29+Fuentes!K31)/Fuentes!K47/365</f>
        <v>2.962213768478037</v>
      </c>
      <c r="L32" s="28">
        <f>(Fuentes!L27+Fuentes!L28+Fuentes!L29+Fuentes!L31)/Fuentes!L47/365</f>
        <v>2.8517375423533213</v>
      </c>
      <c r="M32" s="28">
        <f>(Fuentes!M27+Fuentes!M28+Fuentes!M29+Fuentes!M31)/Fuentes!M47/365</f>
        <v>2.8944683928323105</v>
      </c>
      <c r="N32" s="36">
        <f>(Fuentes!N27+Fuentes!N28+Fuentes!N29+Fuentes!N31)/Fuentes!N47/365</f>
        <v>3.24502870387147</v>
      </c>
      <c r="O32" s="28">
        <f>(Fuentes!O27+Fuentes!O28+Fuentes!O29+Fuentes!O31)/Fuentes!O47/365</f>
        <v>3.2559553362891887</v>
      </c>
      <c r="P32" s="28">
        <f>(Fuentes!P27+Fuentes!P28+Fuentes!P29+Fuentes!P31)/Fuentes!P47/365</f>
        <v>3.3364827371353236</v>
      </c>
      <c r="Q32" s="28">
        <f>(Fuentes!Q27+Fuentes!Q28+Fuentes!Q29+Fuentes!Q31)/Fuentes!Q47/365</f>
        <v>3.6152893254626615</v>
      </c>
      <c r="R32" s="28"/>
      <c r="S32" s="28"/>
      <c r="T32" s="28"/>
      <c r="U32" s="28"/>
      <c r="V32" s="28"/>
    </row>
    <row r="33" spans="1:22" s="14" customFormat="1" ht="12.75" x14ac:dyDescent="0.2">
      <c r="A33" s="28" t="s">
        <v>2988</v>
      </c>
      <c r="B33" s="29" t="s">
        <v>3017</v>
      </c>
      <c r="C33" s="29">
        <f>(Fuentes!C4/Fuentes!C32)*100</f>
        <v>3.6839421429369925</v>
      </c>
      <c r="D33" s="30">
        <f>(Fuentes!D4/Fuentes!D32)*100</f>
        <v>3.9170953494087009</v>
      </c>
      <c r="E33" s="35">
        <f>(Fuentes!E4/Fuentes!E32)*100</f>
        <v>4.2028695345963039</v>
      </c>
      <c r="F33" s="28">
        <f>(Fuentes!F4/Fuentes!F32)*100</f>
        <v>3.7274267417296314</v>
      </c>
      <c r="G33" s="28">
        <f>(Fuentes!G4/Fuentes!G32)*100</f>
        <v>3.6342314586455031</v>
      </c>
      <c r="H33" s="36">
        <f>(Fuentes!H4/Fuentes!H32)*100</f>
        <v>3.9794623921089034</v>
      </c>
      <c r="I33" s="28">
        <f>(Fuentes!I4/Fuentes!I32)*100</f>
        <v>3.7555270246753696</v>
      </c>
      <c r="J33" s="28">
        <f>(Fuentes!J4/Fuentes!J32)*100</f>
        <v>4.2139551705861695</v>
      </c>
      <c r="K33" s="28">
        <f>(Fuentes!K4/Fuentes!K32)*100</f>
        <v>4.3738828103918825</v>
      </c>
      <c r="L33" s="28">
        <f>(Fuentes!L4/Fuentes!L32)*100</f>
        <v>5.0823793183801147</v>
      </c>
      <c r="M33" s="28">
        <f>(Fuentes!M4/Fuentes!M32)*100</f>
        <v>4.9917015797827471</v>
      </c>
      <c r="N33" s="28">
        <f>(Fuentes!N4/Fuentes!N32)*100</f>
        <v>4.8552247080500832</v>
      </c>
      <c r="O33" s="28">
        <f>(Fuentes!O4/Fuentes!O32)*100</f>
        <v>4.8796663046478148</v>
      </c>
      <c r="P33" s="28">
        <f>(Fuentes!P4/Fuentes!P32)*100</f>
        <v>4.8760490270698451</v>
      </c>
      <c r="Q33" s="28">
        <f>(Fuentes!Q4/Fuentes!Q32)*100</f>
        <v>5.2956304538892747</v>
      </c>
      <c r="R33" s="28">
        <f>(Fuentes!R4/Fuentes!R32)*100</f>
        <v>5.0690596941004955</v>
      </c>
      <c r="S33" s="28">
        <f>(Fuentes!S4/Fuentes!S32)*100</f>
        <v>5.2018400027999583</v>
      </c>
      <c r="T33" s="28">
        <f>(Fuentes!T4/Fuentes!T32)*100</f>
        <v>5.1485489132354747</v>
      </c>
      <c r="U33" s="28">
        <f>(Fuentes!U4/Fuentes!U32)*100</f>
        <v>5.0633607951700608</v>
      </c>
      <c r="V33" s="28">
        <f>(Fuentes!V4/Fuentes!V32)*100</f>
        <v>4.3260410926158963</v>
      </c>
    </row>
    <row r="34" spans="1:22" s="14" customFormat="1" ht="12.75" x14ac:dyDescent="0.2">
      <c r="A34" s="28" t="s">
        <v>2988</v>
      </c>
      <c r="B34" s="29" t="s">
        <v>3018</v>
      </c>
      <c r="C34" s="29">
        <f>(Fuentes!C7/Fuentes!C32)*100</f>
        <v>2.9859053887587437</v>
      </c>
      <c r="D34" s="30">
        <f>(Fuentes!D7/Fuentes!D32)*100</f>
        <v>3.7414818130968088</v>
      </c>
      <c r="E34" s="35">
        <f>(Fuentes!E7/Fuentes!E32)*100</f>
        <v>3.9036297109082976</v>
      </c>
      <c r="F34" s="28">
        <f>(Fuentes!F7/Fuentes!F32)*100</f>
        <v>3.4128837872523783</v>
      </c>
      <c r="G34" s="28">
        <f>(Fuentes!G7/Fuentes!G32)*100</f>
        <v>3.4598405289371725</v>
      </c>
      <c r="H34" s="28">
        <f>(Fuentes!H7/Fuentes!H32)*100</f>
        <v>3.6709374679428848</v>
      </c>
      <c r="I34" s="28">
        <f>(Fuentes!I7/Fuentes!I32)*100</f>
        <v>3.5958927360007347</v>
      </c>
      <c r="J34" s="28">
        <f>(Fuentes!J7/Fuentes!J32)*100</f>
        <v>4.0870117227089544</v>
      </c>
      <c r="K34" s="28">
        <f>(Fuentes!K7/Fuentes!K32)*100</f>
        <v>4.3207784779352627</v>
      </c>
      <c r="L34" s="28">
        <f>(Fuentes!L7/Fuentes!L32)*100</f>
        <v>4.5184671668432506</v>
      </c>
      <c r="M34" s="28">
        <f>(Fuentes!M7/Fuentes!M32)*100</f>
        <v>4.6560981701341753</v>
      </c>
      <c r="N34" s="36">
        <f>(Fuentes!N7/Fuentes!N32)*100</f>
        <v>4.5822819825151893</v>
      </c>
      <c r="O34" s="28">
        <f>(Fuentes!O7/Fuentes!O32)*100</f>
        <v>4.5651370142429348</v>
      </c>
      <c r="P34" s="28">
        <f>(Fuentes!P7/Fuentes!P32)*100</f>
        <v>4.7914439961799999</v>
      </c>
      <c r="Q34" s="28">
        <f>(Fuentes!Q7/Fuentes!Q32)*100</f>
        <v>5.0866790114382647</v>
      </c>
      <c r="R34" s="28">
        <f>(Fuentes!R7/Fuentes!R32)*100</f>
        <v>4.615685621881747</v>
      </c>
      <c r="S34" s="28">
        <f>(Fuentes!S7/Fuentes!S32)*100</f>
        <v>4.8342604283621098</v>
      </c>
      <c r="T34" s="28">
        <f>(Fuentes!T7/Fuentes!T32)*100</f>
        <v>4.8944713632124524</v>
      </c>
      <c r="U34" s="28">
        <f>(Fuentes!U7/Fuentes!U32)*100</f>
        <v>4.7474716859330011</v>
      </c>
      <c r="V34" s="28">
        <f>(Fuentes!V7/Fuentes!V32)*100</f>
        <v>5.6421160959453625</v>
      </c>
    </row>
    <row r="35" spans="1:22" s="14" customFormat="1" ht="12.75" x14ac:dyDescent="0.2">
      <c r="A35" s="28" t="s">
        <v>2988</v>
      </c>
      <c r="B35" s="29" t="s">
        <v>3019</v>
      </c>
      <c r="C35" s="29">
        <f>Fuentes!C7*Fuentes!C1077</f>
        <v>11594850287.996691</v>
      </c>
      <c r="D35" s="30">
        <f>Fuentes!D7*Fuentes!D1077</f>
        <v>16555595412.976967</v>
      </c>
      <c r="E35" s="35">
        <f>Fuentes!E7*Fuentes!E1077</f>
        <v>18834142288.8255</v>
      </c>
      <c r="F35" s="28">
        <f>Fuentes!F7*Fuentes!F1077</f>
        <v>23030182811.905876</v>
      </c>
      <c r="G35" s="28">
        <f>Fuentes!G7*Fuentes!G1077</f>
        <v>26032091164.607204</v>
      </c>
      <c r="H35" s="36">
        <f>Fuentes!H7*Fuentes!H1077</f>
        <v>38826331556.344147</v>
      </c>
      <c r="I35" s="28">
        <f>Fuentes!I7*Fuentes!I1077</f>
        <v>46425491203.02594</v>
      </c>
      <c r="J35" s="28">
        <f>Fuentes!J7*Fuentes!J1077</f>
        <v>55149374746.348526</v>
      </c>
      <c r="K35" s="28">
        <f>Fuentes!K7*Fuentes!K1077</f>
        <v>70275964492.23143</v>
      </c>
      <c r="L35" s="28">
        <f>Fuentes!L7*Fuentes!L1077</f>
        <v>90716528718.700592</v>
      </c>
      <c r="M35" s="28">
        <f>Fuentes!M7*Fuentes!M1077</f>
        <v>123663218276.18829</v>
      </c>
      <c r="N35" s="28">
        <f>Fuentes!N7*Fuentes!N1077</f>
        <v>133687200953.9294</v>
      </c>
      <c r="O35" s="28">
        <f>Fuentes!O7*Fuentes!O1077</f>
        <v>156753694396.6861</v>
      </c>
      <c r="P35" s="28">
        <f>Fuentes!P7*Fuentes!P1077</f>
        <v>180273219641.69885</v>
      </c>
      <c r="Q35" s="28">
        <f>Fuentes!Q7*Fuentes!Q1077</f>
        <v>197312311908.10947</v>
      </c>
      <c r="R35" s="28">
        <f>Fuentes!R7*Fuentes!R1077</f>
        <v>212323299184.79825</v>
      </c>
      <c r="S35" s="28">
        <f>Fuentes!S7*Fuentes!S1077</f>
        <v>221313996464.64774</v>
      </c>
      <c r="T35" s="28">
        <f>Fuentes!T7*Fuentes!T1077</f>
        <v>266023486800.9035</v>
      </c>
      <c r="U35" s="28">
        <f>Fuentes!U7*Fuentes!U1077</f>
        <v>282567089932.80383</v>
      </c>
      <c r="V35" s="28">
        <f>Fuentes!V7*Fuentes!V1077</f>
        <v>384121518017.27869</v>
      </c>
    </row>
    <row r="36" spans="1:22" s="14" customFormat="1" ht="12.75" x14ac:dyDescent="0.2">
      <c r="A36" s="28" t="s">
        <v>2988</v>
      </c>
      <c r="B36" s="29" t="s">
        <v>3020</v>
      </c>
      <c r="C36" s="29">
        <f>(Fuentes!C7*Fuentes!C1078)</f>
        <v>8710370860.2951202</v>
      </c>
      <c r="D36" s="30">
        <f>(Fuentes!D7*Fuentes!D1078)</f>
        <v>14454986899.1721</v>
      </c>
      <c r="E36" s="35">
        <f>(Fuentes!E7*Fuentes!E1078)</f>
        <v>16070162592.89072</v>
      </c>
      <c r="F36" s="28">
        <f>(Fuentes!F7*Fuentes!F1078)</f>
        <v>17355458950.935207</v>
      </c>
      <c r="G36" s="28">
        <f>(Fuentes!G7*Fuentes!G1078)</f>
        <v>21309843797.686977</v>
      </c>
      <c r="H36" s="28">
        <f>(Fuentes!H7*Fuentes!H1078)</f>
        <v>25740745782.131565</v>
      </c>
      <c r="I36" s="28">
        <f>(Fuentes!I7*Fuentes!I1078)</f>
        <v>31640451249.551247</v>
      </c>
      <c r="J36" s="28">
        <f>(Fuentes!J7*Fuentes!J1078)</f>
        <v>42944201324.018822</v>
      </c>
      <c r="K36" s="28">
        <f>(Fuentes!K7*Fuentes!K1078)</f>
        <v>59856814638.725838</v>
      </c>
      <c r="L36" s="28">
        <f>(Fuentes!L7*Fuentes!L1078)</f>
        <v>95578586196.383469</v>
      </c>
      <c r="M36" s="28">
        <f>(Fuentes!M7*Fuentes!M1078)</f>
        <v>94857269929.923355</v>
      </c>
      <c r="N36" s="36">
        <f>(Fuentes!N7*Fuentes!N1078)</f>
        <v>71671527382.934021</v>
      </c>
      <c r="O36" s="28">
        <f>(Fuentes!O7*Fuentes!O1078)</f>
        <v>69547111169.972961</v>
      </c>
      <c r="P36" s="28">
        <f>(Fuentes!P7*Fuentes!P1078)</f>
        <v>79173309399.21875</v>
      </c>
      <c r="Q36" s="28">
        <f>(Fuentes!Q7*Fuentes!Q1078)</f>
        <v>76390315951.513519</v>
      </c>
      <c r="R36" s="28">
        <f>(Fuentes!R7*Fuentes!R1078)</f>
        <v>78500739667.190277</v>
      </c>
      <c r="S36" s="28">
        <f>(Fuentes!S7*Fuentes!S1078)</f>
        <v>61811511510.109612</v>
      </c>
      <c r="T36" s="28">
        <f>(Fuentes!T7*Fuentes!T1078)</f>
        <v>100650809835.98219</v>
      </c>
      <c r="U36" s="28">
        <f>(Fuentes!U7*Fuentes!U1078)</f>
        <v>110969520327.82333</v>
      </c>
      <c r="V36" s="28">
        <f>(Fuentes!V7*Fuentes!V1078)</f>
        <v>129336150580.31837</v>
      </c>
    </row>
    <row r="37" spans="1:22" s="14" customFormat="1" ht="12.75" x14ac:dyDescent="0.2">
      <c r="A37" s="28" t="s">
        <v>2988</v>
      </c>
      <c r="B37" s="29" t="s">
        <v>3021</v>
      </c>
      <c r="C37" s="29">
        <f>(Fuentes!C7*Fuentes!C1079)</f>
        <v>18953492991.003307</v>
      </c>
      <c r="D37" s="30">
        <f>(Fuentes!D7*Fuentes!D1079)</f>
        <v>28374209687.023037</v>
      </c>
      <c r="E37" s="35">
        <f>(Fuentes!E7*Fuentes!E1079)</f>
        <v>34674936142.41449</v>
      </c>
      <c r="F37" s="28">
        <f>(Fuentes!F7*Fuentes!F1079)</f>
        <v>38884279823.084122</v>
      </c>
      <c r="G37" s="28">
        <f>(Fuentes!G7*Fuentes!G1079)</f>
        <v>48377780415.392792</v>
      </c>
      <c r="H37" s="36">
        <f>(Fuentes!H7*Fuentes!H1079)</f>
        <v>45958916198.735855</v>
      </c>
      <c r="I37" s="28">
        <f>(Fuentes!I7*Fuentes!I1079)</f>
        <v>53192578858.974052</v>
      </c>
      <c r="J37" s="28">
        <f>(Fuentes!J7*Fuentes!J1079)</f>
        <v>64836665837.651482</v>
      </c>
      <c r="K37" s="28">
        <f>(Fuentes!K7*Fuentes!K1079)</f>
        <v>79760518894.76857</v>
      </c>
      <c r="L37" s="28">
        <f>(Fuentes!L7*Fuentes!L1079)</f>
        <v>95821249086.299408</v>
      </c>
      <c r="M37" s="28">
        <f>(Fuentes!M7*Fuentes!M1079)</f>
        <v>96084733814.958328</v>
      </c>
      <c r="N37" s="28">
        <f>(Fuentes!N7*Fuentes!N1079)</f>
        <v>117663475416.84097</v>
      </c>
      <c r="O37" s="28">
        <f>(Fuentes!O7*Fuentes!O1079)</f>
        <v>115841410447.11316</v>
      </c>
      <c r="P37" s="28">
        <f>(Fuentes!P7*Fuentes!P1079)</f>
        <v>128696146772.61395</v>
      </c>
      <c r="Q37" s="28">
        <f>(Fuentes!Q7*Fuentes!Q1079)</f>
        <v>141025395731.04056</v>
      </c>
      <c r="R37" s="28">
        <f>(Fuentes!R7*Fuentes!R1079)</f>
        <v>155055089733.02176</v>
      </c>
      <c r="S37" s="28">
        <f>(Fuentes!S7*Fuentes!S1079)</f>
        <v>165432638916.83505</v>
      </c>
      <c r="T37" s="28">
        <f>(Fuentes!T7*Fuentes!T1079)</f>
        <v>171505104032.64297</v>
      </c>
      <c r="U37" s="28">
        <f>(Fuentes!U7*Fuentes!U1079)</f>
        <v>162603947228.45282</v>
      </c>
      <c r="V37" s="28">
        <f>(Fuentes!V7*Fuentes!V1079)</f>
        <v>233299830636.98157</v>
      </c>
    </row>
    <row r="38" spans="1:22" s="14" customFormat="1" ht="12.75" x14ac:dyDescent="0.2">
      <c r="A38" s="28" t="s">
        <v>2988</v>
      </c>
      <c r="B38" s="29" t="s">
        <v>3022</v>
      </c>
      <c r="C38" s="29">
        <f>C37/Fuentes!C46</f>
        <v>61547306.351691209</v>
      </c>
      <c r="D38" s="30">
        <f>D37/Fuentes!D46</f>
        <v>86546315.95858787</v>
      </c>
      <c r="E38" s="35">
        <f>E37/Fuentes!E46</f>
        <v>96525724.862663165</v>
      </c>
      <c r="F38" s="28">
        <f>F37/Fuentes!F46</f>
        <v>97667294.157898486</v>
      </c>
      <c r="G38" s="28">
        <f>G37/Fuentes!G46</f>
        <v>110754991.79348166</v>
      </c>
      <c r="H38" s="28">
        <f>H37/Fuentes!H46</f>
        <v>96347909.265499368</v>
      </c>
      <c r="I38" s="28">
        <f>I37/Fuentes!I46</f>
        <v>103875525.03314726</v>
      </c>
      <c r="J38" s="28">
        <f>J37/Fuentes!J46</f>
        <v>125523523.97276342</v>
      </c>
      <c r="K38" s="28">
        <f>K37/Fuentes!K46</f>
        <v>154436972.64990234</v>
      </c>
      <c r="L38" s="28">
        <f>L37/Fuentes!L46</f>
        <v>167986622.05483672</v>
      </c>
      <c r="M38" s="28">
        <f>M37/Fuentes!M46</f>
        <v>181028946.2760863</v>
      </c>
      <c r="N38" s="36">
        <f>N37/Fuentes!N46</f>
        <v>236172448.19823164</v>
      </c>
      <c r="O38" s="28">
        <f>O37/Fuentes!O46</f>
        <v>235177559.42731625</v>
      </c>
      <c r="P38" s="28">
        <f>P37/Fuentes!P46</f>
        <v>261031066.61382464</v>
      </c>
      <c r="Q38" s="28">
        <f>Q37/Fuentes!Q46</f>
        <v>262382592.34025556</v>
      </c>
      <c r="R38" s="28">
        <f>R37/Fuentes!R46</f>
        <v>293403768.86676961</v>
      </c>
      <c r="S38" s="28">
        <f>S37/Fuentes!S46</f>
        <v>305457336.57718021</v>
      </c>
      <c r="T38" s="28">
        <f>T37/Fuentes!T46</f>
        <v>303007197.81036198</v>
      </c>
      <c r="U38" s="28">
        <f>U37/Fuentes!U46</f>
        <v>288591415.64044583</v>
      </c>
      <c r="V38" s="28">
        <f>V37/Fuentes!V46</f>
        <v>404528767.23016638</v>
      </c>
    </row>
    <row r="39" spans="1:22" s="14" customFormat="1" ht="12.75" x14ac:dyDescent="0.2">
      <c r="A39" s="28" t="s">
        <v>2988</v>
      </c>
      <c r="B39" s="29" t="s">
        <v>3023</v>
      </c>
      <c r="C39" s="29">
        <f>C37/(Fuentes!C344)</f>
        <v>23270.495737192912</v>
      </c>
      <c r="D39" s="30">
        <f>D37/(Fuentes!D344)</f>
        <v>30919.0314930936</v>
      </c>
      <c r="E39" s="35">
        <f>E37/(Fuentes!E344)</f>
        <v>32965.666342553108</v>
      </c>
      <c r="F39" s="28">
        <f>F37/(Fuentes!F344)</f>
        <v>38815.460012481992</v>
      </c>
      <c r="G39" s="28">
        <f>G37/(Fuentes!G344)</f>
        <v>45292.500569124597</v>
      </c>
      <c r="H39" s="36">
        <f>H37/(Fuentes!H344)</f>
        <v>69134.95955560013</v>
      </c>
      <c r="I39" s="28">
        <f>I37/(Fuentes!I344)</f>
        <v>83543.260650462544</v>
      </c>
      <c r="J39" s="28">
        <f>J37/(Fuentes!J344)</f>
        <v>95070.376573201618</v>
      </c>
      <c r="K39" s="28">
        <f>K37/(Fuentes!K344)</f>
        <v>113765.96099913787</v>
      </c>
      <c r="L39" s="28">
        <f>L37/(Fuentes!L344)</f>
        <v>126235.7279687134</v>
      </c>
      <c r="M39" s="28">
        <f>M37/(Fuentes!M344)</f>
        <v>129343.46592578507</v>
      </c>
      <c r="N39" s="28">
        <f>N37/(Fuentes!N344)</f>
        <v>145576.2692906255</v>
      </c>
      <c r="O39" s="28">
        <f>O37/(Fuentes!O344)</f>
        <v>161701.60170732863</v>
      </c>
      <c r="P39" s="28">
        <f>P37/(Fuentes!P344)</f>
        <v>172885.97482346691</v>
      </c>
      <c r="Q39" s="28">
        <f>Q37/(Fuentes!Q344)</f>
        <v>183177.93600972689</v>
      </c>
      <c r="R39" s="28">
        <f>R37/(Fuentes!R344)</f>
        <v>188415.11662157055</v>
      </c>
      <c r="S39" s="28">
        <f>S37/(Fuentes!S344)</f>
        <v>196344.99925445759</v>
      </c>
      <c r="T39" s="28">
        <f>T37/(Fuentes!T344)</f>
        <v>214854.0589705389</v>
      </c>
      <c r="U39" s="28">
        <f>U37/(Fuentes!U344)</f>
        <v>201149.15383139363</v>
      </c>
      <c r="V39" s="28">
        <f>V37/(Fuentes!V344)</f>
        <v>255899.32349183992</v>
      </c>
    </row>
    <row r="40" spans="1:22" s="14" customFormat="1" ht="12.75" x14ac:dyDescent="0.2">
      <c r="A40" s="28" t="s">
        <v>2988</v>
      </c>
      <c r="B40" s="29" t="s">
        <v>3024</v>
      </c>
      <c r="C40" s="29">
        <f>C39/Fuentes!C46</f>
        <v>75.565824767634069</v>
      </c>
      <c r="D40" s="30">
        <f>D39/Fuentes!D46</f>
        <v>94.308468790890956</v>
      </c>
      <c r="E40" s="35">
        <f>E39/Fuentes!E46</f>
        <v>91.767576044743222</v>
      </c>
      <c r="F40" s="28">
        <f>F39/Fuentes!F46</f>
        <v>97.494436521945076</v>
      </c>
      <c r="G40" s="28">
        <f>G39/Fuentes!G46</f>
        <v>103.69162218206181</v>
      </c>
      <c r="H40" s="28">
        <f>H39/Fuentes!H46</f>
        <v>144.93398368084553</v>
      </c>
      <c r="I40" s="28">
        <f>I39/Fuentes!I46</f>
        <v>163.14493956112821</v>
      </c>
      <c r="J40" s="28">
        <f>J39/Fuentes!J46</f>
        <v>184.05586620951664</v>
      </c>
      <c r="K40" s="28">
        <f>K39/Fuentes!K46</f>
        <v>220.28029469685524</v>
      </c>
      <c r="L40" s="28">
        <f>L39/Fuentes!L46</f>
        <v>221.30700367930683</v>
      </c>
      <c r="M40" s="28">
        <f>M39/Fuentes!M46</f>
        <v>243.69023480186348</v>
      </c>
      <c r="N40" s="36">
        <f>N39/Fuentes!N46</f>
        <v>292.19860960363201</v>
      </c>
      <c r="O40" s="28">
        <f>O39/Fuentes!O46</f>
        <v>328.28146599940851</v>
      </c>
      <c r="P40" s="28">
        <f>P39/Fuentes!P46</f>
        <v>350.66015216815794</v>
      </c>
      <c r="Q40" s="28">
        <f>Q39/Fuentes!Q46</f>
        <v>340.80884127730684</v>
      </c>
      <c r="R40" s="28">
        <f>R39/Fuentes!R46</f>
        <v>356.52944655622935</v>
      </c>
      <c r="S40" s="28">
        <f>S39/Fuentes!S46</f>
        <v>362.53438810623828</v>
      </c>
      <c r="T40" s="28">
        <f>T39/Fuentes!T46</f>
        <v>379.59410429239574</v>
      </c>
      <c r="U40" s="28">
        <f>U39/Fuentes!U46</f>
        <v>357.0019058487037</v>
      </c>
      <c r="V40" s="28">
        <f>V39/Fuentes!V46</f>
        <v>443.71501507116091</v>
      </c>
    </row>
    <row r="41" spans="1:22" s="14" customFormat="1" ht="12.75" x14ac:dyDescent="0.2">
      <c r="A41" s="28" t="s">
        <v>2988</v>
      </c>
      <c r="B41" s="29" t="s">
        <v>3025</v>
      </c>
      <c r="C41" s="29">
        <f t="shared" ref="C41:N41" si="0">C16/100*C$39+(C$15/100*C$39/5)</f>
        <v>11936.891408112739</v>
      </c>
      <c r="D41" s="30">
        <f t="shared" si="0"/>
        <v>13956.24395077157</v>
      </c>
      <c r="E41" s="35">
        <f t="shared" si="0"/>
        <v>14449.236328437577</v>
      </c>
      <c r="F41" s="28">
        <f t="shared" si="0"/>
        <v>16627.18766733956</v>
      </c>
      <c r="G41" s="28">
        <f t="shared" si="0"/>
        <v>18152.496060683901</v>
      </c>
      <c r="H41" s="36">
        <f t="shared" si="0"/>
        <v>28574.903097031653</v>
      </c>
      <c r="I41" s="28">
        <f t="shared" si="0"/>
        <v>33773.368750089103</v>
      </c>
      <c r="J41" s="28">
        <f t="shared" si="0"/>
        <v>37213.564965976693</v>
      </c>
      <c r="K41" s="28">
        <f t="shared" si="0"/>
        <v>47329.675988404764</v>
      </c>
      <c r="L41" s="28">
        <f t="shared" si="0"/>
        <v>49237.114109145732</v>
      </c>
      <c r="M41" s="28">
        <f t="shared" si="0"/>
        <v>50576.241682326312</v>
      </c>
      <c r="N41" s="28">
        <f t="shared" si="0"/>
        <v>57912.749475920114</v>
      </c>
      <c r="O41" s="28">
        <f t="shared" ref="O41:Q46" si="1">O16/100*O$39+(O$15/100*O$39/6)</f>
        <v>62743.784605841356</v>
      </c>
      <c r="P41" s="28">
        <f t="shared" si="1"/>
        <v>66136.300212564223</v>
      </c>
      <c r="Q41" s="28">
        <f t="shared" si="1"/>
        <v>70989.713128238087</v>
      </c>
      <c r="R41" s="28">
        <f t="shared" ref="R41:V45" si="2">R16/100*R$39+(R$15/100*R$39/5)</f>
        <v>76318.969132167607</v>
      </c>
      <c r="S41" s="28">
        <f t="shared" si="2"/>
        <v>79079.563563039992</v>
      </c>
      <c r="T41" s="28">
        <f t="shared" si="2"/>
        <v>82654.227379087504</v>
      </c>
      <c r="U41" s="28">
        <f t="shared" si="2"/>
        <v>80901.841748790437</v>
      </c>
      <c r="V41" s="28">
        <f t="shared" si="2"/>
        <v>75405.806612533823</v>
      </c>
    </row>
    <row r="42" spans="1:22" s="14" customFormat="1" ht="12.75" x14ac:dyDescent="0.2">
      <c r="A42" s="28" t="s">
        <v>2988</v>
      </c>
      <c r="B42" s="29" t="s">
        <v>3026</v>
      </c>
      <c r="C42" s="29">
        <f t="shared" ref="C42:N42" si="3">C17/100*C$39+(C$15/100*C$39/5)</f>
        <v>5927.4218998286033</v>
      </c>
      <c r="D42" s="30">
        <f t="shared" si="3"/>
        <v>7629.1468406434615</v>
      </c>
      <c r="E42" s="35">
        <f t="shared" si="3"/>
        <v>8636.8136663233054</v>
      </c>
      <c r="F42" s="28">
        <f t="shared" si="3"/>
        <v>10330.088240846646</v>
      </c>
      <c r="G42" s="28">
        <f t="shared" si="3"/>
        <v>10765.336568842164</v>
      </c>
      <c r="H42" s="28">
        <f t="shared" si="3"/>
        <v>16568.252847882333</v>
      </c>
      <c r="I42" s="28">
        <f t="shared" si="3"/>
        <v>19721.859487778143</v>
      </c>
      <c r="J42" s="28">
        <f t="shared" si="3"/>
        <v>22465.429104903349</v>
      </c>
      <c r="K42" s="28">
        <f t="shared" si="3"/>
        <v>27298.080154411116</v>
      </c>
      <c r="L42" s="28">
        <f t="shared" si="3"/>
        <v>31440.616875618358</v>
      </c>
      <c r="M42" s="28">
        <f t="shared" si="3"/>
        <v>32362.034649539219</v>
      </c>
      <c r="N42" s="36">
        <f t="shared" si="3"/>
        <v>36573.374881253287</v>
      </c>
      <c r="O42" s="28">
        <f t="shared" si="1"/>
        <v>39097.138816535786</v>
      </c>
      <c r="P42" s="28">
        <f t="shared" si="1"/>
        <v>41985.337472529478</v>
      </c>
      <c r="Q42" s="28">
        <f t="shared" si="1"/>
        <v>43862.310848676767</v>
      </c>
      <c r="R42" s="28">
        <f t="shared" si="2"/>
        <v>47388.094110527301</v>
      </c>
      <c r="S42" s="28">
        <f t="shared" si="2"/>
        <v>49300.180135152528</v>
      </c>
      <c r="T42" s="28">
        <f t="shared" si="2"/>
        <v>54132.188256328933</v>
      </c>
      <c r="U42" s="28">
        <f t="shared" si="2"/>
        <v>49416.566302989289</v>
      </c>
      <c r="V42" s="28">
        <f t="shared" si="2"/>
        <v>48044.209008609854</v>
      </c>
    </row>
    <row r="43" spans="1:22" s="14" customFormat="1" ht="12.75" x14ac:dyDescent="0.2">
      <c r="A43" s="28" t="s">
        <v>2988</v>
      </c>
      <c r="B43" s="29" t="s">
        <v>3027</v>
      </c>
      <c r="C43" s="29">
        <f t="shared" ref="C43:N43" si="4">C18/100*C$39+(C$15/100*C$39/5)</f>
        <v>3284.8011852980376</v>
      </c>
      <c r="D43" s="30">
        <f t="shared" si="4"/>
        <v>4692.93644993201</v>
      </c>
      <c r="E43" s="35">
        <f t="shared" si="4"/>
        <v>4898.6164597357265</v>
      </c>
      <c r="F43" s="28">
        <f t="shared" si="4"/>
        <v>5854.9613232528664</v>
      </c>
      <c r="G43" s="28">
        <f t="shared" si="4"/>
        <v>6803.1533502873626</v>
      </c>
      <c r="H43" s="36">
        <f t="shared" si="4"/>
        <v>10830.737910746568</v>
      </c>
      <c r="I43" s="28">
        <f t="shared" si="4"/>
        <v>12962.742348833834</v>
      </c>
      <c r="J43" s="28">
        <f t="shared" si="4"/>
        <v>14464.392132486475</v>
      </c>
      <c r="K43" s="28">
        <f t="shared" si="4"/>
        <v>18013.893227036049</v>
      </c>
      <c r="L43" s="28">
        <f t="shared" si="4"/>
        <v>21373.05998359606</v>
      </c>
      <c r="M43" s="28">
        <f t="shared" si="4"/>
        <v>22749.20585832771</v>
      </c>
      <c r="N43" s="28">
        <f t="shared" si="4"/>
        <v>25572.88784408004</v>
      </c>
      <c r="O43" s="28">
        <f t="shared" si="1"/>
        <v>25151.249097110296</v>
      </c>
      <c r="P43" s="28">
        <f t="shared" si="1"/>
        <v>26791.125001458575</v>
      </c>
      <c r="Q43" s="28">
        <f t="shared" si="1"/>
        <v>28083.659151153588</v>
      </c>
      <c r="R43" s="28">
        <f t="shared" si="2"/>
        <v>30627.826920739448</v>
      </c>
      <c r="S43" s="28">
        <f t="shared" si="2"/>
        <v>31452.371192810177</v>
      </c>
      <c r="T43" s="28">
        <f t="shared" si="2"/>
        <v>35785.623097438169</v>
      </c>
      <c r="U43" s="28">
        <f t="shared" si="2"/>
        <v>31932.125660691134</v>
      </c>
      <c r="V43" s="28">
        <f t="shared" si="2"/>
        <v>29301.869342153565</v>
      </c>
    </row>
    <row r="44" spans="1:22" s="14" customFormat="1" ht="12.75" x14ac:dyDescent="0.2">
      <c r="A44" s="28" t="s">
        <v>2988</v>
      </c>
      <c r="B44" s="29" t="s">
        <v>3028</v>
      </c>
      <c r="C44" s="29">
        <f t="shared" ref="C44:N44" si="5">C19/100*C$39+(C$15/100*C$39/5)</f>
        <v>2052.798828413635</v>
      </c>
      <c r="D44" s="30">
        <f t="shared" si="5"/>
        <v>3377.8171898999694</v>
      </c>
      <c r="E44" s="35">
        <f t="shared" si="5"/>
        <v>3678.8001268180401</v>
      </c>
      <c r="F44" s="28">
        <f t="shared" si="5"/>
        <v>4396.3164838762259</v>
      </c>
      <c r="G44" s="28">
        <f t="shared" si="5"/>
        <v>5126.2895749765348</v>
      </c>
      <c r="H44" s="28">
        <f t="shared" si="5"/>
        <v>7622.8477810715012</v>
      </c>
      <c r="I44" s="28">
        <f t="shared" si="5"/>
        <v>9169.5877337801576</v>
      </c>
      <c r="J44" s="28">
        <f t="shared" si="5"/>
        <v>10261.362943277585</v>
      </c>
      <c r="K44" s="28">
        <f t="shared" si="5"/>
        <v>12910.23558613515</v>
      </c>
      <c r="L44" s="28">
        <f t="shared" si="5"/>
        <v>15187.260029749054</v>
      </c>
      <c r="M44" s="28">
        <f t="shared" si="5"/>
        <v>15543.71625151785</v>
      </c>
      <c r="N44" s="36">
        <f t="shared" si="5"/>
        <v>16736.329132723382</v>
      </c>
      <c r="O44" s="28">
        <f t="shared" si="1"/>
        <v>18156.479827966021</v>
      </c>
      <c r="P44" s="28">
        <f t="shared" si="1"/>
        <v>19688.568664139704</v>
      </c>
      <c r="Q44" s="28">
        <f t="shared" si="1"/>
        <v>21111.051364333132</v>
      </c>
      <c r="R44" s="28">
        <f t="shared" si="2"/>
        <v>23019.773762395278</v>
      </c>
      <c r="S44" s="28">
        <f t="shared" si="2"/>
        <v>24175.739408250876</v>
      </c>
      <c r="T44" s="28">
        <f t="shared" si="2"/>
        <v>27396.559484167883</v>
      </c>
      <c r="U44" s="28">
        <f t="shared" si="2"/>
        <v>26154.203988934405</v>
      </c>
      <c r="V44" s="28">
        <f t="shared" si="2"/>
        <v>23935.344169523629</v>
      </c>
    </row>
    <row r="45" spans="1:22" s="14" customFormat="1" ht="12.75" x14ac:dyDescent="0.2">
      <c r="A45" s="28" t="s">
        <v>2988</v>
      </c>
      <c r="B45" s="29" t="s">
        <v>3029</v>
      </c>
      <c r="C45" s="29"/>
      <c r="D45" s="30"/>
      <c r="E45" s="35"/>
      <c r="F45" s="28"/>
      <c r="G45" s="28"/>
      <c r="H45" s="36"/>
      <c r="I45" s="28"/>
      <c r="J45" s="28"/>
      <c r="K45" s="28"/>
      <c r="L45" s="28"/>
      <c r="M45" s="28"/>
      <c r="N45" s="28"/>
      <c r="O45" s="28">
        <f t="shared" si="1"/>
        <v>8084.4297553294955</v>
      </c>
      <c r="P45" s="28">
        <f t="shared" si="1"/>
        <v>9342.1073843656777</v>
      </c>
      <c r="Q45" s="28">
        <f t="shared" si="1"/>
        <v>9699.1221092639535</v>
      </c>
      <c r="R45" s="28">
        <f t="shared" si="2"/>
        <v>11060.452695740922</v>
      </c>
      <c r="S45" s="28">
        <f t="shared" si="2"/>
        <v>12337.144955204014</v>
      </c>
      <c r="T45" s="28">
        <f t="shared" si="2"/>
        <v>14885.460753516378</v>
      </c>
      <c r="U45" s="28">
        <f t="shared" si="2"/>
        <v>12744.416129988351</v>
      </c>
      <c r="V45" s="28">
        <f t="shared" si="2"/>
        <v>11642.426638908157</v>
      </c>
    </row>
    <row r="46" spans="1:22" s="14" customFormat="1" ht="12.75" x14ac:dyDescent="0.2">
      <c r="A46" s="28" t="s">
        <v>2988</v>
      </c>
      <c r="B46" s="29" t="s">
        <v>3030</v>
      </c>
      <c r="C46" s="29">
        <f t="shared" ref="C46:N46" si="6">C21/100*C$39+(C$15/100*C$39/5)</f>
        <v>68.58241553989717</v>
      </c>
      <c r="D46" s="30">
        <f t="shared" si="6"/>
        <v>1262.8870618465894</v>
      </c>
      <c r="E46" s="35">
        <f t="shared" si="6"/>
        <v>1302.1997612384607</v>
      </c>
      <c r="F46" s="28">
        <f t="shared" si="6"/>
        <v>1606.9062971666945</v>
      </c>
      <c r="G46" s="28">
        <f t="shared" si="6"/>
        <v>4445.2250143346355</v>
      </c>
      <c r="H46" s="28">
        <f t="shared" si="6"/>
        <v>5538.2179188680766</v>
      </c>
      <c r="I46" s="28">
        <f t="shared" si="6"/>
        <v>7915.7023299813054</v>
      </c>
      <c r="J46" s="28">
        <f t="shared" si="6"/>
        <v>10665.627426557514</v>
      </c>
      <c r="K46" s="28">
        <f t="shared" si="6"/>
        <v>8214.0760431507933</v>
      </c>
      <c r="L46" s="28">
        <f t="shared" si="6"/>
        <v>8997.6769706041978</v>
      </c>
      <c r="M46" s="28">
        <f t="shared" si="6"/>
        <v>8112.2674840739783</v>
      </c>
      <c r="N46" s="36">
        <f t="shared" si="6"/>
        <v>8780.9279566486803</v>
      </c>
      <c r="O46" s="28">
        <f t="shared" si="1"/>
        <v>8468.5196045456796</v>
      </c>
      <c r="P46" s="28">
        <f t="shared" si="1"/>
        <v>8942.5360884092588</v>
      </c>
      <c r="Q46" s="28">
        <f t="shared" si="1"/>
        <v>9432.079408061385</v>
      </c>
      <c r="R46" s="28"/>
      <c r="S46" s="28"/>
      <c r="T46" s="28"/>
      <c r="U46" s="28"/>
      <c r="V46" s="28"/>
    </row>
    <row r="47" spans="1:22" s="14" customFormat="1" ht="12.75" x14ac:dyDescent="0.2">
      <c r="A47" s="28" t="s">
        <v>2988</v>
      </c>
      <c r="B47" s="29" t="s">
        <v>3031</v>
      </c>
      <c r="C47" s="29"/>
      <c r="D47" s="30"/>
      <c r="E47" s="35"/>
      <c r="F47" s="28"/>
      <c r="G47" s="28"/>
      <c r="H47" s="36"/>
      <c r="I47" s="28"/>
      <c r="J47" s="28"/>
      <c r="K47" s="28"/>
      <c r="L47" s="28">
        <f>(Fuentes!L10/Fuentes!L$9)*100</f>
        <v>18.549891656759566</v>
      </c>
      <c r="M47" s="28">
        <f>(Fuentes!M10/Fuentes!M$9)*100</f>
        <v>17.596382055311892</v>
      </c>
      <c r="N47" s="28">
        <f>(Fuentes!N10/Fuentes!N$9)*100</f>
        <v>17.942957958273841</v>
      </c>
      <c r="O47" s="28">
        <f>(Fuentes!O10/Fuentes!O$9)*100</f>
        <v>10.600614053158305</v>
      </c>
      <c r="P47" s="28">
        <f>(Fuentes!P10/Fuentes!P$9)*100</f>
        <v>8.7067235446475806</v>
      </c>
      <c r="Q47" s="28">
        <f>(Fuentes!Q10/Fuentes!Q$9)*100</f>
        <v>8.1544098205438029</v>
      </c>
      <c r="R47" s="28">
        <f>(Fuentes!R10/Fuentes!R$9)*100</f>
        <v>7.8241212354369791</v>
      </c>
      <c r="S47" s="28">
        <f>(Fuentes!S10/Fuentes!S$9)*100</f>
        <v>7.5410634866387731</v>
      </c>
      <c r="T47" s="28">
        <f>(Fuentes!T10/Fuentes!T$9)*100</f>
        <v>7.729867754364526</v>
      </c>
      <c r="U47" s="28">
        <f>(Fuentes!U10/Fuentes!U$9)*100</f>
        <v>7.6562355336094372</v>
      </c>
      <c r="V47" s="28">
        <f>(Fuentes!V10/Fuentes!V$9)*100</f>
        <v>9.6104830642730956</v>
      </c>
    </row>
    <row r="48" spans="1:22" s="14" customFormat="1" ht="12.75" x14ac:dyDescent="0.2">
      <c r="A48" s="28" t="s">
        <v>2988</v>
      </c>
      <c r="B48" s="29" t="s">
        <v>3032</v>
      </c>
      <c r="C48" s="29"/>
      <c r="D48" s="30"/>
      <c r="E48" s="35"/>
      <c r="F48" s="28"/>
      <c r="G48" s="28"/>
      <c r="H48" s="28"/>
      <c r="I48" s="28"/>
      <c r="J48" s="28"/>
      <c r="K48" s="28"/>
      <c r="L48" s="28">
        <f>Fuentes!L10/(Calculos!L119)</f>
        <v>33631.795975386289</v>
      </c>
      <c r="M48" s="28">
        <f>Fuentes!M10/(Calculos!M119)</f>
        <v>30991.792886764841</v>
      </c>
      <c r="N48" s="36">
        <f>Fuentes!N10/(Calculos!N119)</f>
        <v>60786.494014417818</v>
      </c>
      <c r="O48" s="28">
        <f>Fuentes!O10/(Calculos!O119)</f>
        <v>54194.950239160229</v>
      </c>
      <c r="P48" s="28">
        <f>Fuentes!P10/(Calculos!P119)</f>
        <v>65506.343691209906</v>
      </c>
      <c r="Q48" s="28">
        <f>Fuentes!Q10/(Calculos!Q119)</f>
        <v>68983.297794290978</v>
      </c>
      <c r="R48" s="28">
        <f>Fuentes!R10/(Calculos!R119)</f>
        <v>86109.982329404389</v>
      </c>
      <c r="S48" s="28">
        <f>Fuentes!S10/(Calculos!S119)</f>
        <v>92986.318386929459</v>
      </c>
      <c r="T48" s="28">
        <f>Fuentes!T10/(Calculos!T119)</f>
        <v>109869.90931101817</v>
      </c>
      <c r="U48" s="28">
        <f>Fuentes!U10/(Calculos!U119)</f>
        <v>115487.47184845727</v>
      </c>
      <c r="V48" s="28">
        <f>Fuentes!V10/(Calculos!V119)</f>
        <v>164929.98320825381</v>
      </c>
    </row>
    <row r="49" spans="1:22" s="14" customFormat="1" ht="12.75" x14ac:dyDescent="0.2">
      <c r="A49" s="28" t="s">
        <v>2988</v>
      </c>
      <c r="B49" s="29" t="s">
        <v>3033</v>
      </c>
      <c r="C49" s="29"/>
      <c r="D49" s="30"/>
      <c r="E49" s="35"/>
      <c r="F49" s="28"/>
      <c r="G49" s="28"/>
      <c r="H49" s="36"/>
      <c r="I49" s="28"/>
      <c r="J49" s="28"/>
      <c r="K49" s="28"/>
      <c r="L49" s="28">
        <f>(Fuentes!L11/Fuentes!L$9)*100</f>
        <v>0</v>
      </c>
      <c r="M49" s="28">
        <f>(Fuentes!M11/Fuentes!M$9)*100</f>
        <v>0</v>
      </c>
      <c r="N49" s="28">
        <f>(Fuentes!N11/Fuentes!N$9)*100</f>
        <v>0</v>
      </c>
      <c r="O49" s="28">
        <f>(Fuentes!O11/Fuentes!O$9)*100</f>
        <v>6.5141098781272317</v>
      </c>
      <c r="P49" s="28">
        <f>(Fuentes!P11/Fuentes!P$9)*100</f>
        <v>7.4359186834993887</v>
      </c>
      <c r="Q49" s="28">
        <f>(Fuentes!Q11/Fuentes!Q$9)*100</f>
        <v>7.3921522359158702</v>
      </c>
      <c r="R49" s="28">
        <f>(Fuentes!R11/Fuentes!R$9)*100</f>
        <v>7.0297659761509816</v>
      </c>
      <c r="S49" s="28">
        <f>(Fuentes!S11/Fuentes!S$9)*100</f>
        <v>7.7624495375003209</v>
      </c>
      <c r="T49" s="28">
        <f>(Fuentes!T11/Fuentes!T$9)*100</f>
        <v>7.838363531796559</v>
      </c>
      <c r="U49" s="28">
        <f>(Fuentes!U11/Fuentes!U$9)*100</f>
        <v>7.6145512436838381</v>
      </c>
      <c r="V49" s="28">
        <f>(Fuentes!V11/Fuentes!V$9)*100</f>
        <v>8.4770741043144184</v>
      </c>
    </row>
    <row r="50" spans="1:22" s="14" customFormat="1" ht="12.75" x14ac:dyDescent="0.2">
      <c r="A50" s="28" t="s">
        <v>2988</v>
      </c>
      <c r="B50" s="29" t="s">
        <v>3034</v>
      </c>
      <c r="C50" s="29"/>
      <c r="D50" s="30"/>
      <c r="E50" s="35"/>
      <c r="F50" s="28"/>
      <c r="G50" s="28"/>
      <c r="H50" s="28"/>
      <c r="I50" s="28"/>
      <c r="J50" s="28"/>
      <c r="K50" s="28"/>
      <c r="L50" s="28"/>
      <c r="M50" s="28"/>
      <c r="N50" s="36"/>
      <c r="O50" s="28">
        <f>Fuentes!O11/Calculos!O120</f>
        <v>16683.65621438665</v>
      </c>
      <c r="P50" s="28">
        <f>Fuentes!P11/Calculos!P120</f>
        <v>16006.669218894314</v>
      </c>
      <c r="Q50" s="28">
        <f>Fuentes!Q11/Calculos!Q120</f>
        <v>15736.588913212365</v>
      </c>
      <c r="R50" s="28">
        <f>Fuentes!R11/Calculos!R120</f>
        <v>15769.288345352825</v>
      </c>
      <c r="S50" s="28">
        <f>Fuentes!S11/Calculos!S120</f>
        <v>15839.99517123103</v>
      </c>
      <c r="T50" s="28">
        <f>Fuentes!T11/Calculos!T120</f>
        <v>15652.241854992326</v>
      </c>
      <c r="U50" s="28">
        <f>Fuentes!U11/Calculos!U120</f>
        <v>13648.731829196911</v>
      </c>
      <c r="V50" s="28">
        <f>Fuentes!V11/Calculos!V120</f>
        <v>14025.758525684314</v>
      </c>
    </row>
    <row r="51" spans="1:22" s="14" customFormat="1" ht="12.75" x14ac:dyDescent="0.2">
      <c r="A51" s="28" t="s">
        <v>2988</v>
      </c>
      <c r="B51" s="29" t="s">
        <v>3035</v>
      </c>
      <c r="C51" s="29"/>
      <c r="D51" s="30"/>
      <c r="E51" s="35"/>
      <c r="F51" s="28"/>
      <c r="G51" s="28"/>
      <c r="H51" s="36"/>
      <c r="I51" s="28"/>
      <c r="J51" s="28"/>
      <c r="K51" s="28"/>
      <c r="L51" s="28">
        <f>(Fuentes!L12/Fuentes!L$9)*100</f>
        <v>2.3953918282763969</v>
      </c>
      <c r="M51" s="28">
        <f>(Fuentes!M12/Fuentes!M$9)*100</f>
        <v>3.1366282956357323</v>
      </c>
      <c r="N51" s="28">
        <f>(Fuentes!N12/Fuentes!N$9)*100</f>
        <v>2.3845906526435865</v>
      </c>
      <c r="O51" s="28">
        <f>(Fuentes!O12/Fuentes!O$9)*100</f>
        <v>2.613141868188257</v>
      </c>
      <c r="P51" s="28">
        <f>(Fuentes!P12/Fuentes!P$9)*100</f>
        <v>2.8826452847576216</v>
      </c>
      <c r="Q51" s="28">
        <f>(Fuentes!Q12/Fuentes!Q$9)*100</f>
        <v>2.7832568963311832</v>
      </c>
      <c r="R51" s="28">
        <f>(Fuentes!R12/Fuentes!R$9)*100</f>
        <v>2.569277356099597</v>
      </c>
      <c r="S51" s="28">
        <f>(Fuentes!S12/Fuentes!S$9)*100</f>
        <v>2.3666107130683218</v>
      </c>
      <c r="T51" s="28">
        <f>(Fuentes!T12/Fuentes!T$9)*100</f>
        <v>2.3498660923116232</v>
      </c>
      <c r="U51" s="28">
        <f>(Fuentes!U12/Fuentes!U$9)*100</f>
        <v>2.4862014750153838</v>
      </c>
      <c r="V51" s="28">
        <f>(Fuentes!V12/Fuentes!V$9)*100</f>
        <v>2.1942051881749385</v>
      </c>
    </row>
    <row r="52" spans="1:22" s="14" customFormat="1" ht="12.75" x14ac:dyDescent="0.2">
      <c r="A52" s="28" t="s">
        <v>2988</v>
      </c>
      <c r="B52" s="29" t="s">
        <v>3036</v>
      </c>
      <c r="C52" s="29"/>
      <c r="D52" s="30"/>
      <c r="E52" s="35"/>
      <c r="F52" s="28"/>
      <c r="G52" s="28"/>
      <c r="H52" s="28"/>
      <c r="I52" s="28"/>
      <c r="J52" s="28"/>
      <c r="K52" s="28"/>
      <c r="L52" s="28">
        <f>Fuentes!L12/(Calculos!L121)</f>
        <v>116948.89003959793</v>
      </c>
      <c r="M52" s="28">
        <f>Fuentes!M12/(Calculos!M121)</f>
        <v>185440.46142593009</v>
      </c>
      <c r="N52" s="36">
        <f>Fuentes!N12/(Calculos!N121)</f>
        <v>159366.39803215564</v>
      </c>
      <c r="O52" s="28">
        <f>Fuentes!O12/(Calculos!O121)</f>
        <v>201897.01790616495</v>
      </c>
      <c r="P52" s="28">
        <f>Fuentes!P12/(Calculos!P121)</f>
        <v>246368.70999920831</v>
      </c>
      <c r="Q52" s="28">
        <f>Fuentes!Q12/(Calculos!Q121)</f>
        <v>262052.36822144201</v>
      </c>
      <c r="R52" s="28">
        <f>Fuentes!R12/(Calculos!R121)</f>
        <v>279034.27978699619</v>
      </c>
      <c r="S52" s="28">
        <f>Fuentes!S12/(Calculos!S121)</f>
        <v>284158.37809067231</v>
      </c>
      <c r="T52" s="28">
        <f>Fuentes!T12/(Calculos!T121)</f>
        <v>311125.2735424444</v>
      </c>
      <c r="U52" s="28">
        <f>Fuentes!U12/(Calculos!U121)</f>
        <v>351195.88751713908</v>
      </c>
      <c r="V52" s="28">
        <f>Fuentes!V12/(Calculos!V121)</f>
        <v>292325.40841166611</v>
      </c>
    </row>
    <row r="53" spans="1:22" s="14" customFormat="1" ht="12.75" x14ac:dyDescent="0.2">
      <c r="A53" s="28" t="s">
        <v>2988</v>
      </c>
      <c r="B53" s="29" t="s">
        <v>3037</v>
      </c>
      <c r="C53" s="29"/>
      <c r="D53" s="30"/>
      <c r="E53" s="35"/>
      <c r="F53" s="28"/>
      <c r="G53" s="28"/>
      <c r="H53" s="36"/>
      <c r="I53" s="28"/>
      <c r="J53" s="28"/>
      <c r="K53" s="28"/>
      <c r="L53" s="28">
        <f>(Fuentes!L13/Fuentes!L$9)*100</f>
        <v>4.7650664491929087</v>
      </c>
      <c r="M53" s="28">
        <f>(Fuentes!M13/Fuentes!M$9)*100</f>
        <v>4.4703896172287223</v>
      </c>
      <c r="N53" s="28">
        <f>(Fuentes!N13/Fuentes!N$9)*100</f>
        <v>4.6780020463561707</v>
      </c>
      <c r="O53" s="28">
        <f>(Fuentes!O13/Fuentes!O$9)*100</f>
        <v>4.5839169604949284</v>
      </c>
      <c r="P53" s="28">
        <f>(Fuentes!P13/Fuentes!P$9)*100</f>
        <v>4.5913036876916768</v>
      </c>
      <c r="Q53" s="28">
        <f>(Fuentes!Q13/Fuentes!Q$9)*100</f>
        <v>4.2950232516146141</v>
      </c>
      <c r="R53" s="28">
        <f>(Fuentes!R13/Fuentes!R$9)*100</f>
        <v>4.4271002369397774</v>
      </c>
      <c r="S53" s="28">
        <f>(Fuentes!S13/Fuentes!S$9)*100</f>
        <v>4.3541326687019062</v>
      </c>
      <c r="T53" s="28">
        <f>(Fuentes!T13/Fuentes!T$9)*100</f>
        <v>4.1988371176286368</v>
      </c>
      <c r="U53" s="28">
        <f>(Fuentes!U13/Fuentes!U$9)*100</f>
        <v>3.9317076367548776</v>
      </c>
      <c r="V53" s="28">
        <f>(Fuentes!V13/Fuentes!V$9)*100</f>
        <v>3.9319373676373246</v>
      </c>
    </row>
    <row r="54" spans="1:22" s="14" customFormat="1" ht="12.75" x14ac:dyDescent="0.2">
      <c r="A54" s="28" t="s">
        <v>2988</v>
      </c>
      <c r="B54" s="29" t="s">
        <v>3038</v>
      </c>
      <c r="C54" s="29"/>
      <c r="D54" s="30"/>
      <c r="E54" s="35"/>
      <c r="F54" s="28"/>
      <c r="G54" s="28"/>
      <c r="H54" s="28"/>
      <c r="I54" s="28"/>
      <c r="J54" s="28"/>
      <c r="K54" s="28"/>
      <c r="L54" s="28">
        <f>Fuentes!L13/Calculos!L122</f>
        <v>71313.198202614381</v>
      </c>
      <c r="M54" s="28">
        <f>Fuentes!M13/Calculos!M122</f>
        <v>76793.05994722688</v>
      </c>
      <c r="N54" s="36">
        <f>Fuentes!N13/Calculos!N122</f>
        <v>93483.057358051883</v>
      </c>
      <c r="O54" s="28">
        <f>Fuentes!O13/Calculos!O122</f>
        <v>94326.393192705917</v>
      </c>
      <c r="P54" s="28">
        <f>Fuentes!P13/Calculos!P122</f>
        <v>103215.7431466158</v>
      </c>
      <c r="Q54" s="28">
        <f>Fuentes!Q13/Calculos!Q122</f>
        <v>104445.13118425997</v>
      </c>
      <c r="R54" s="28">
        <f>Fuentes!R13/Calculos!R122</f>
        <v>116230.41536668224</v>
      </c>
      <c r="S54" s="28">
        <f>Fuentes!S13/Calculos!S122</f>
        <v>117347.75036724072</v>
      </c>
      <c r="T54" s="28">
        <f>Fuentes!T13/Calculos!T122</f>
        <v>119736.40398477625</v>
      </c>
      <c r="U54" s="28">
        <f>Fuentes!U13/Calculos!U122</f>
        <v>122305.55738137693</v>
      </c>
      <c r="V54" s="28">
        <f>Fuentes!V13/Calculos!V122</f>
        <v>116318.38089949053</v>
      </c>
    </row>
    <row r="55" spans="1:22" s="14" customFormat="1" ht="12.75" x14ac:dyDescent="0.2">
      <c r="A55" s="28" t="s">
        <v>2988</v>
      </c>
      <c r="B55" s="29" t="s">
        <v>3039</v>
      </c>
      <c r="C55" s="29"/>
      <c r="D55" s="30"/>
      <c r="E55" s="35"/>
      <c r="F55" s="28"/>
      <c r="G55" s="28"/>
      <c r="H55" s="36"/>
      <c r="I55" s="28"/>
      <c r="J55" s="28"/>
      <c r="K55" s="28"/>
      <c r="L55" s="28">
        <f>(Fuentes!L14/Fuentes!L$9)*100</f>
        <v>4.4215780542937519</v>
      </c>
      <c r="M55" s="28">
        <f>(Fuentes!M14/Fuentes!M$9)*100</f>
        <v>6.2992556308467478</v>
      </c>
      <c r="N55" s="28">
        <f>(Fuentes!N14/Fuentes!N$9)*100</f>
        <v>6.1188366660401909</v>
      </c>
      <c r="O55" s="28">
        <f>(Fuentes!O14/Fuentes!O$9)*100</f>
        <v>6.2558537579905495</v>
      </c>
      <c r="P55" s="28">
        <f>(Fuentes!P14/Fuentes!P$9)*100</f>
        <v>6.5172583343349437</v>
      </c>
      <c r="Q55" s="28">
        <f>(Fuentes!Q14/Fuentes!Q$9)*100</f>
        <v>7.0785836378399125</v>
      </c>
      <c r="R55" s="28">
        <f>(Fuentes!R14/Fuentes!R$9)*100</f>
        <v>6.3574734815828888</v>
      </c>
      <c r="S55" s="28">
        <f>(Fuentes!S14/Fuentes!S$9)*100</f>
        <v>6.0020098220191809</v>
      </c>
      <c r="T55" s="28">
        <f>(Fuentes!T14/Fuentes!T$9)*100</f>
        <v>5.7688608686546345</v>
      </c>
      <c r="U55" s="28">
        <f>(Fuentes!U14/Fuentes!U$9)*100</f>
        <v>5.870486659797014</v>
      </c>
      <c r="V55" s="28">
        <f>(Fuentes!V14/Fuentes!V$9)*100</f>
        <v>4.5066907723717247</v>
      </c>
    </row>
    <row r="56" spans="1:22" s="14" customFormat="1" ht="12.75" x14ac:dyDescent="0.2">
      <c r="A56" s="28" t="s">
        <v>2988</v>
      </c>
      <c r="B56" s="29" t="s">
        <v>3040</v>
      </c>
      <c r="C56" s="29"/>
      <c r="D56" s="30"/>
      <c r="E56" s="35"/>
      <c r="F56" s="28"/>
      <c r="G56" s="28"/>
      <c r="H56" s="28"/>
      <c r="I56" s="28"/>
      <c r="J56" s="28"/>
      <c r="K56" s="28"/>
      <c r="L56" s="28">
        <f>Fuentes!L14/(Calculos!L123)</f>
        <v>41239.955018911838</v>
      </c>
      <c r="M56" s="28">
        <f>Fuentes!M14/(Calculos!M123)</f>
        <v>78333.773675294593</v>
      </c>
      <c r="N56" s="36">
        <f>Fuentes!N14/(Calculos!N123)</f>
        <v>96844.920885971631</v>
      </c>
      <c r="O56" s="28">
        <f>Fuentes!O14/(Calculos!O123)</f>
        <v>126890.23571274703</v>
      </c>
      <c r="P56" s="28">
        <f>Fuentes!P14/(Calculos!P123)</f>
        <v>284874.00032229698</v>
      </c>
      <c r="Q56" s="28">
        <f>Fuentes!Q14/(Calculos!Q123)</f>
        <v>294027.86731038685</v>
      </c>
      <c r="R56" s="28">
        <f>Fuentes!R14/(Calculos!R123)</f>
        <v>255740.73726362464</v>
      </c>
      <c r="S56" s="28">
        <f>Fuentes!S14/(Calculos!S123)</f>
        <v>229784.77168290835</v>
      </c>
      <c r="T56" s="28">
        <f>Fuentes!T14/(Calculos!T123)</f>
        <v>218066.3867836548</v>
      </c>
      <c r="U56" s="28">
        <f>Fuentes!U14/(Calculos!U123)</f>
        <v>243271.21774075794</v>
      </c>
      <c r="V56" s="28">
        <f>Fuentes!V14/(Calculos!V123)</f>
        <v>204657.46897093422</v>
      </c>
    </row>
    <row r="57" spans="1:22" s="14" customFormat="1" ht="12.75" x14ac:dyDescent="0.2">
      <c r="A57" s="28" t="s">
        <v>2988</v>
      </c>
      <c r="B57" s="29" t="s">
        <v>3041</v>
      </c>
      <c r="C57" s="29"/>
      <c r="D57" s="30"/>
      <c r="E57" s="35"/>
      <c r="F57" s="28"/>
      <c r="G57" s="28"/>
      <c r="H57" s="36"/>
      <c r="I57" s="28"/>
      <c r="J57" s="28"/>
      <c r="K57" s="28"/>
      <c r="L57" s="28">
        <f>(Fuentes!L15/Fuentes!L$9)*100</f>
        <v>12.51235192442312</v>
      </c>
      <c r="M57" s="28">
        <f>(Fuentes!M15/Fuentes!M$9)*100</f>
        <v>12.850714997524079</v>
      </c>
      <c r="N57" s="28">
        <f>(Fuentes!N15/Fuentes!N$9)*100</f>
        <v>12.451854444459705</v>
      </c>
      <c r="O57" s="28">
        <f>(Fuentes!O15/Fuentes!O$9)*100</f>
        <v>11.473400402018154</v>
      </c>
      <c r="P57" s="28">
        <f>(Fuentes!P15/Fuentes!P$9)*100</f>
        <v>10.664517138214769</v>
      </c>
      <c r="Q57" s="28">
        <f>(Fuentes!Q15/Fuentes!Q$9)*100</f>
        <v>10.528029749747205</v>
      </c>
      <c r="R57" s="28">
        <f>(Fuentes!R15/Fuentes!R$9)*100</f>
        <v>10.414065305007274</v>
      </c>
      <c r="S57" s="28">
        <f>(Fuentes!S15/Fuentes!S$9)*100</f>
        <v>10.865743292225991</v>
      </c>
      <c r="T57" s="28">
        <f>(Fuentes!T15/Fuentes!T$9)*100</f>
        <v>11.995586596826419</v>
      </c>
      <c r="U57" s="28">
        <f>(Fuentes!U15/Fuentes!U$9)*100</f>
        <v>9.8239033424786815</v>
      </c>
      <c r="V57" s="28">
        <f>(Fuentes!V15/Fuentes!V$9)*100</f>
        <v>10.115432548027048</v>
      </c>
    </row>
    <row r="58" spans="1:22" s="14" customFormat="1" ht="12.75" x14ac:dyDescent="0.2">
      <c r="A58" s="28" t="s">
        <v>2988</v>
      </c>
      <c r="B58" s="29" t="s">
        <v>3042</v>
      </c>
      <c r="C58" s="29"/>
      <c r="D58" s="30"/>
      <c r="E58" s="35"/>
      <c r="F58" s="28"/>
      <c r="G58" s="28"/>
      <c r="H58" s="28"/>
      <c r="I58" s="28"/>
      <c r="J58" s="28"/>
      <c r="K58" s="28"/>
      <c r="L58" s="28">
        <f>Fuentes!L15/(Calculos!L124)</f>
        <v>134585.84548535381</v>
      </c>
      <c r="M58" s="28">
        <f>Fuentes!M15/(Calculos!M124)</f>
        <v>152853.76970086273</v>
      </c>
      <c r="N58" s="36">
        <f>Fuentes!N15/(Calculos!N124)</f>
        <v>157289.8463976708</v>
      </c>
      <c r="O58" s="28">
        <f>Fuentes!O15/(Calculos!O124)</f>
        <v>148393.22149527</v>
      </c>
      <c r="P58" s="28">
        <f>Fuentes!P15/(Calculos!P124)</f>
        <v>146165.71413336042</v>
      </c>
      <c r="Q58" s="28">
        <f>Fuentes!Q15/(Calculos!Q124)</f>
        <v>154777.98391285285</v>
      </c>
      <c r="R58" s="28">
        <f>Fuentes!R15/(Calculos!R124)</f>
        <v>161070.1649059729</v>
      </c>
      <c r="S58" s="28">
        <f>Fuentes!S15/(Calculos!S124)</f>
        <v>176425.80994099585</v>
      </c>
      <c r="T58" s="28">
        <f>Fuentes!T15/(Calculos!T124)</f>
        <v>198275.46853113457</v>
      </c>
      <c r="U58" s="28">
        <f>Fuentes!U15/(Calculos!U124)</f>
        <v>185849.09403332704</v>
      </c>
      <c r="V58" s="28">
        <f>Fuentes!V15/(Calculos!V124)</f>
        <v>188495.18350845887</v>
      </c>
    </row>
    <row r="59" spans="1:22" s="14" customFormat="1" ht="12.75" x14ac:dyDescent="0.2">
      <c r="A59" s="28" t="s">
        <v>2988</v>
      </c>
      <c r="B59" s="29" t="s">
        <v>3043</v>
      </c>
      <c r="C59" s="29"/>
      <c r="D59" s="30"/>
      <c r="E59" s="35"/>
      <c r="F59" s="28"/>
      <c r="G59" s="28"/>
      <c r="H59" s="36"/>
      <c r="I59" s="28"/>
      <c r="J59" s="28"/>
      <c r="K59" s="28"/>
      <c r="L59" s="28">
        <f>(Fuentes!L16/Fuentes!L$9)*100</f>
        <v>6.7710443442135633</v>
      </c>
      <c r="M59" s="28">
        <f>(Fuentes!M16/Fuentes!M$9)*100</f>
        <v>5.5247120582057461</v>
      </c>
      <c r="N59" s="28">
        <f>(Fuentes!N16/Fuentes!N$9)*100</f>
        <v>5.4203316943203177</v>
      </c>
      <c r="O59" s="28">
        <f>(Fuentes!O16/Fuentes!O$9)*100</f>
        <v>5.2321099274590246</v>
      </c>
      <c r="P59" s="28">
        <f>(Fuentes!P16/Fuentes!P$9)*100</f>
        <v>5.1283907813919294</v>
      </c>
      <c r="Q59" s="28">
        <f>(Fuentes!Q16/Fuentes!Q$9)*100</f>
        <v>4.7924187097155286</v>
      </c>
      <c r="R59" s="28">
        <f>(Fuentes!R16/Fuentes!R$9)*100</f>
        <v>4.2886421914093029</v>
      </c>
      <c r="S59" s="28">
        <f>(Fuentes!S16/Fuentes!S$9)*100</f>
        <v>3.9933894743091911</v>
      </c>
      <c r="T59" s="28">
        <f>(Fuentes!T16/Fuentes!T$9)*100</f>
        <v>3.8833523489799773</v>
      </c>
      <c r="U59" s="28">
        <f>(Fuentes!U16/Fuentes!U$9)*100</f>
        <v>4.0541918265033683</v>
      </c>
      <c r="V59" s="28">
        <f>(Fuentes!V16/Fuentes!V$9)*100</f>
        <v>4.3573495546167642</v>
      </c>
    </row>
    <row r="60" spans="1:22" s="14" customFormat="1" ht="12.75" x14ac:dyDescent="0.2">
      <c r="A60" s="28" t="s">
        <v>2988</v>
      </c>
      <c r="B60" s="29" t="s">
        <v>3044</v>
      </c>
      <c r="C60" s="29"/>
      <c r="D60" s="30"/>
      <c r="E60" s="35"/>
      <c r="F60" s="28"/>
      <c r="G60" s="28"/>
      <c r="H60" s="28"/>
      <c r="I60" s="28"/>
      <c r="J60" s="28"/>
      <c r="K60" s="28"/>
      <c r="L60" s="28">
        <f>Fuentes!L16/Calculos!L125</f>
        <v>55776.783017049762</v>
      </c>
      <c r="M60" s="28">
        <f>Fuentes!M16/Calculos!M125</f>
        <v>54804.815362487483</v>
      </c>
      <c r="N60" s="36">
        <f>Fuentes!N16/Calculos!N125</f>
        <v>62069.988660269017</v>
      </c>
      <c r="O60" s="28">
        <f>Fuentes!O16/Calculos!O125</f>
        <v>64757.863204822926</v>
      </c>
      <c r="P60" s="28">
        <f>Fuentes!P16/Calculos!P125</f>
        <v>73634.609256520504</v>
      </c>
      <c r="Q60" s="28">
        <f>Fuentes!Q16/Calculos!Q125</f>
        <v>83202.854640799982</v>
      </c>
      <c r="R60" s="28">
        <f>Fuentes!R16/Calculos!R125</f>
        <v>85165.096526642505</v>
      </c>
      <c r="S60" s="28">
        <f>Fuentes!S16/Calculos!S125</f>
        <v>85210.908418859559</v>
      </c>
      <c r="T60" s="28">
        <f>Fuentes!T16/Calculos!T125</f>
        <v>98021.550261131561</v>
      </c>
      <c r="U60" s="28">
        <f>Fuentes!U16/Calculos!U125</f>
        <v>107825.79367126137</v>
      </c>
      <c r="V60" s="28">
        <f>Fuentes!V16/Calculos!V125</f>
        <v>107503.65419715158</v>
      </c>
    </row>
    <row r="61" spans="1:22" s="14" customFormat="1" ht="12.75" x14ac:dyDescent="0.2">
      <c r="A61" s="28" t="s">
        <v>2988</v>
      </c>
      <c r="B61" s="29" t="s">
        <v>3045</v>
      </c>
      <c r="C61" s="29"/>
      <c r="D61" s="30"/>
      <c r="E61" s="35"/>
      <c r="F61" s="28"/>
      <c r="G61" s="28"/>
      <c r="H61" s="36"/>
      <c r="I61" s="28"/>
      <c r="J61" s="28"/>
      <c r="K61" s="28"/>
      <c r="L61" s="28">
        <f>(Fuentes!L17/Fuentes!L$9)*100</f>
        <v>1.6492526391612712</v>
      </c>
      <c r="M61" s="28">
        <f>(Fuentes!M17/Fuentes!M$9)*100</f>
        <v>1.2703301480916207</v>
      </c>
      <c r="N61" s="28">
        <f>(Fuentes!N17/Fuentes!N$9)*100</f>
        <v>1.0962879502163729</v>
      </c>
      <c r="O61" s="28">
        <f>(Fuentes!O17/Fuentes!O$9)*100</f>
        <v>1.0582710170631358</v>
      </c>
      <c r="P61" s="28">
        <f>(Fuentes!P17/Fuentes!P$9)*100</f>
        <v>1.1508144877924684</v>
      </c>
      <c r="Q61" s="28">
        <f>(Fuentes!Q17/Fuentes!Q$9)*100</f>
        <v>1.2362670738874231</v>
      </c>
      <c r="R61" s="28">
        <f>(Fuentes!R17/Fuentes!R$9)*100</f>
        <v>4.9744428904229228</v>
      </c>
      <c r="S61" s="28">
        <f>(Fuentes!S17/Fuentes!S$9)*100</f>
        <v>4.9631872895238907</v>
      </c>
      <c r="T61" s="28">
        <f>(Fuentes!T17/Fuentes!T$9)*100</f>
        <v>4.7826536857534441</v>
      </c>
      <c r="U61" s="28">
        <f>(Fuentes!U17/Fuentes!U$9)*100</f>
        <v>4.6181118685077909</v>
      </c>
      <c r="V61" s="28">
        <f>(Fuentes!V17/Fuentes!V$9)*100</f>
        <v>4.7576084826567469</v>
      </c>
    </row>
    <row r="62" spans="1:22" s="14" customFormat="1" ht="12.75" x14ac:dyDescent="0.2">
      <c r="A62" s="28" t="s">
        <v>2988</v>
      </c>
      <c r="B62" s="29" t="s">
        <v>3046</v>
      </c>
      <c r="C62" s="29"/>
      <c r="D62" s="30"/>
      <c r="E62" s="35"/>
      <c r="F62" s="28"/>
      <c r="G62" s="28"/>
      <c r="H62" s="28"/>
      <c r="I62" s="28"/>
      <c r="J62" s="28"/>
      <c r="K62" s="28"/>
      <c r="L62" s="28">
        <f>(Fuentes!L17+Fuentes!L28)/Calculos!L126</f>
        <v>43407.622442198051</v>
      </c>
      <c r="M62" s="28">
        <f>(Fuentes!M17+Fuentes!M28)/Calculos!M126</f>
        <v>56554.480754593838</v>
      </c>
      <c r="N62" s="36">
        <f>(Fuentes!N17+Fuentes!N28)/Calculos!N126</f>
        <v>76897.429855192662</v>
      </c>
      <c r="O62" s="28">
        <f>(Fuentes!O17+Fuentes!O28)/Calculos!O126</f>
        <v>80557.354281009568</v>
      </c>
      <c r="P62" s="28">
        <f>(Fuentes!P17+Fuentes!P28)/Calculos!P126</f>
        <v>81285.369297709432</v>
      </c>
      <c r="Q62" s="28">
        <f>(Fuentes!Q17+Fuentes!Q28)/Calculos!Q126</f>
        <v>82999.287088221477</v>
      </c>
      <c r="R62" s="28">
        <f>(Fuentes!R17+Fuentes!R28)/Calculos!R126</f>
        <v>63744.924397856594</v>
      </c>
      <c r="S62" s="28">
        <f>(Fuentes!S17+Fuentes!S28)/Calculos!S126</f>
        <v>60898.358474926616</v>
      </c>
      <c r="T62" s="28">
        <f>(Fuentes!T17+Fuentes!T28)/Calculos!T126</f>
        <v>61496.739861504888</v>
      </c>
      <c r="U62" s="28">
        <f>(Fuentes!U17+Fuentes!U28)/Calculos!U126</f>
        <v>69011.889620195347</v>
      </c>
      <c r="V62" s="28">
        <f>(Fuentes!V17+Fuentes!V28)/Calculos!V126</f>
        <v>71140.829577741359</v>
      </c>
    </row>
    <row r="63" spans="1:22" s="14" customFormat="1" ht="12.75" x14ac:dyDescent="0.2">
      <c r="A63" s="28" t="s">
        <v>2988</v>
      </c>
      <c r="B63" s="29" t="s">
        <v>3047</v>
      </c>
      <c r="C63" s="29"/>
      <c r="D63" s="30"/>
      <c r="E63" s="35"/>
      <c r="F63" s="28"/>
      <c r="G63" s="28"/>
      <c r="H63" s="36"/>
      <c r="I63" s="28"/>
      <c r="J63" s="28"/>
      <c r="K63" s="28"/>
      <c r="L63" s="28">
        <f>(Fuentes!L18/Fuentes!L$9)*100</f>
        <v>5.4495128584461785</v>
      </c>
      <c r="M63" s="28">
        <f>(Fuentes!M18/Fuentes!M$9)*100</f>
        <v>5.4094989952795682</v>
      </c>
      <c r="N63" s="28">
        <f>(Fuentes!N18/Fuentes!N$9)*100</f>
        <v>5.7979715586890537</v>
      </c>
      <c r="O63" s="28">
        <f>(Fuentes!O18/Fuentes!O$9)*100</f>
        <v>6.4013874686814161</v>
      </c>
      <c r="P63" s="28">
        <f>(Fuentes!P18/Fuentes!P$9)*100</f>
        <v>6.999364801176494</v>
      </c>
      <c r="Q63" s="28">
        <f>(Fuentes!Q18/Fuentes!Q$9)*100</f>
        <v>7.1828702237276314</v>
      </c>
      <c r="R63" s="28">
        <f>(Fuentes!R18/Fuentes!R$9)*100</f>
        <v>7.5095709941690982</v>
      </c>
      <c r="S63" s="28">
        <f>(Fuentes!S18/Fuentes!S$9)*100</f>
        <v>7.1909068069868773</v>
      </c>
      <c r="T63" s="28">
        <f>(Fuentes!T18/Fuentes!T$9)*100</f>
        <v>7.0244706430404191</v>
      </c>
      <c r="U63" s="28">
        <f>(Fuentes!U18/Fuentes!U$9)*100</f>
        <v>6.9911635075912031</v>
      </c>
      <c r="V63" s="28">
        <f>(Fuentes!V18/Fuentes!V$9)*100</f>
        <v>6.7280522320646048</v>
      </c>
    </row>
    <row r="64" spans="1:22" s="14" customFormat="1" ht="12.75" x14ac:dyDescent="0.2">
      <c r="A64" s="28" t="s">
        <v>2988</v>
      </c>
      <c r="B64" s="29" t="s">
        <v>3048</v>
      </c>
      <c r="C64" s="29"/>
      <c r="D64" s="30"/>
      <c r="E64" s="35"/>
      <c r="F64" s="28"/>
      <c r="G64" s="28"/>
      <c r="H64" s="28"/>
      <c r="I64" s="28"/>
      <c r="J64" s="28"/>
      <c r="K64" s="28"/>
      <c r="L64" s="28">
        <f>Fuentes!L18/Calculos!L127</f>
        <v>25191.835793238206</v>
      </c>
      <c r="M64" s="28">
        <f>Fuentes!M18/Calculos!M127</f>
        <v>27605.312606964839</v>
      </c>
      <c r="N64" s="36">
        <f>Fuentes!N18/Calculos!N127</f>
        <v>31274.817105428756</v>
      </c>
      <c r="O64" s="28">
        <f>Fuentes!O18/Calculos!O127</f>
        <v>35668.956493119797</v>
      </c>
      <c r="P64" s="28">
        <f>Fuentes!P18/Calculos!P127</f>
        <v>39458.454771756718</v>
      </c>
      <c r="Q64" s="28">
        <f>Fuentes!Q18/Calculos!Q127</f>
        <v>39983.639064436713</v>
      </c>
      <c r="R64" s="28">
        <f>Fuentes!R18/Calculos!R127</f>
        <v>43022.099156750795</v>
      </c>
      <c r="S64" s="28">
        <f>Fuentes!S18/Calculos!S127</f>
        <v>42256.490593308961</v>
      </c>
      <c r="T64" s="28">
        <f>Fuentes!T18/Calculos!T127</f>
        <v>44295.676529166092</v>
      </c>
      <c r="U64" s="28">
        <f>Fuentes!U18/Calculos!U127</f>
        <v>47267.455633006961</v>
      </c>
      <c r="V64" s="28">
        <f>Fuentes!V18/Calculos!V127</f>
        <v>43991.135317729771</v>
      </c>
    </row>
    <row r="65" spans="1:22" s="14" customFormat="1" ht="12.75" x14ac:dyDescent="0.2">
      <c r="A65" s="28" t="s">
        <v>2988</v>
      </c>
      <c r="B65" s="29" t="s">
        <v>3049</v>
      </c>
      <c r="C65" s="29"/>
      <c r="D65" s="30"/>
      <c r="E65" s="35"/>
      <c r="F65" s="28"/>
      <c r="G65" s="28"/>
      <c r="H65" s="36"/>
      <c r="I65" s="28"/>
      <c r="J65" s="28"/>
      <c r="K65" s="28"/>
      <c r="L65" s="28">
        <f>(Fuentes!L19/Fuentes!L$9)*100</f>
        <v>6.7885640521998356</v>
      </c>
      <c r="M65" s="28">
        <f>(Fuentes!M19/Fuentes!M$9)*100</f>
        <v>6.6112196839972146</v>
      </c>
      <c r="N65" s="28">
        <f>(Fuentes!N19/Fuentes!N$9)*100</f>
        <v>6.5257478539515201</v>
      </c>
      <c r="O65" s="28">
        <f>(Fuentes!O19/Fuentes!O$9)*100</f>
        <v>6.3248967815911845</v>
      </c>
      <c r="P65" s="28">
        <f>(Fuentes!P19/Fuentes!P$9)*100</f>
        <v>6.2920756520100225</v>
      </c>
      <c r="Q65" s="28">
        <f>(Fuentes!Q19/Fuentes!Q$9)*100</f>
        <v>6.1590643527098576</v>
      </c>
      <c r="R65" s="28">
        <f>(Fuentes!R19/Fuentes!R$9)*100</f>
        <v>5.9813055870146572</v>
      </c>
      <c r="S65" s="28">
        <f>(Fuentes!S19/Fuentes!S$9)*100</f>
        <v>6.0069745063564239</v>
      </c>
      <c r="T65" s="28">
        <f>(Fuentes!T19/Fuentes!T$9)*100</f>
        <v>5.886742036170296</v>
      </c>
      <c r="U65" s="28">
        <f>(Fuentes!U19/Fuentes!U$9)*100</f>
        <v>5.6119807418133094</v>
      </c>
      <c r="V65" s="28">
        <f>(Fuentes!V19/Fuentes!V$9)*100</f>
        <v>5.7615187905257947</v>
      </c>
    </row>
    <row r="66" spans="1:22" s="14" customFormat="1" ht="12.75" x14ac:dyDescent="0.2">
      <c r="A66" s="28" t="s">
        <v>2988</v>
      </c>
      <c r="B66" s="29" t="s">
        <v>3050</v>
      </c>
      <c r="C66" s="29"/>
      <c r="D66" s="30"/>
      <c r="E66" s="35"/>
      <c r="F66" s="28"/>
      <c r="G66" s="28"/>
      <c r="H66" s="28"/>
      <c r="I66" s="28"/>
      <c r="J66" s="28"/>
      <c r="K66" s="28"/>
      <c r="L66" s="28">
        <f>Fuentes!L19/Calculos!L128</f>
        <v>69380.783667027994</v>
      </c>
      <c r="M66" s="28">
        <f>Fuentes!M19/Calculos!M128</f>
        <v>75508.941658137584</v>
      </c>
      <c r="N66" s="36">
        <f>Fuentes!N19/Calculos!N128</f>
        <v>80482.704281935818</v>
      </c>
      <c r="O66" s="28">
        <f>Fuentes!O19/Calculos!O128</f>
        <v>73261.036654044612</v>
      </c>
      <c r="P66" s="28">
        <f>Fuentes!P19/Calculos!P128</f>
        <v>65376.07269049732</v>
      </c>
      <c r="Q66" s="28">
        <f>Fuentes!Q19/Calculos!Q128</f>
        <v>70046.674441931449</v>
      </c>
      <c r="R66" s="28">
        <f>Fuentes!R19/Calculos!R128</f>
        <v>73363.475866543973</v>
      </c>
      <c r="S66" s="28">
        <f>Fuentes!S19/Calculos!S128</f>
        <v>78379.667748270178</v>
      </c>
      <c r="T66" s="28">
        <f>Fuentes!T19/Calculos!T128</f>
        <v>86902.770137160493</v>
      </c>
      <c r="U66" s="28">
        <f>Fuentes!U19/Calculos!U128</f>
        <v>87704.321935638276</v>
      </c>
      <c r="V66" s="28">
        <f>Fuentes!V19/Calculos!V128</f>
        <v>87938.939326392661</v>
      </c>
    </row>
    <row r="67" spans="1:22" s="14" customFormat="1" ht="12.75" x14ac:dyDescent="0.2">
      <c r="A67" s="28" t="s">
        <v>2988</v>
      </c>
      <c r="B67" s="29" t="s">
        <v>3051</v>
      </c>
      <c r="C67" s="29"/>
      <c r="D67" s="30"/>
      <c r="E67" s="35"/>
      <c r="F67" s="28"/>
      <c r="G67" s="28"/>
      <c r="H67" s="36"/>
      <c r="I67" s="28"/>
      <c r="J67" s="28"/>
      <c r="K67" s="28"/>
      <c r="L67" s="28">
        <f>(Fuentes!L20/Fuentes!L$9)*100</f>
        <v>0.57805525273636016</v>
      </c>
      <c r="M67" s="28">
        <f>(Fuentes!M20/Fuentes!M$9)*100</f>
        <v>0.67581722208352701</v>
      </c>
      <c r="N67" s="28">
        <f>(Fuentes!N20/Fuentes!N$9)*100</f>
        <v>0.78296240376520643</v>
      </c>
      <c r="O67" s="28">
        <f>(Fuentes!O20/Fuentes!O$9)*100</f>
        <v>0.54283238399418021</v>
      </c>
      <c r="P67" s="28">
        <f>(Fuentes!P20/Fuentes!P$9)*100</f>
        <v>0.54777309929575613</v>
      </c>
      <c r="Q67" s="28">
        <f>(Fuentes!Q20/Fuentes!Q$9)*100</f>
        <v>0.52975344062802188</v>
      </c>
      <c r="R67" s="28">
        <f>(Fuentes!R20/Fuentes!R$9)*100</f>
        <v>0.50101845656355282</v>
      </c>
      <c r="S67" s="28">
        <f>(Fuentes!S20/Fuentes!S$9)*100</f>
        <v>0.51768995143278373</v>
      </c>
      <c r="T67" s="28">
        <f>(Fuentes!T20/Fuentes!T$9)*100</f>
        <v>0.52049116693716946</v>
      </c>
      <c r="U67" s="28">
        <f>(Fuentes!U20/Fuentes!U$9)*100</f>
        <v>0.51367876506126897</v>
      </c>
      <c r="V67" s="28">
        <f>(Fuentes!V20/Fuentes!V$9)*100</f>
        <v>0.47294028505128038</v>
      </c>
    </row>
    <row r="68" spans="1:22" s="14" customFormat="1" ht="12.75" x14ac:dyDescent="0.2">
      <c r="A68" s="28" t="s">
        <v>2988</v>
      </c>
      <c r="B68" s="29" t="s">
        <v>3052</v>
      </c>
      <c r="C68" s="29"/>
      <c r="D68" s="30"/>
      <c r="E68" s="35"/>
      <c r="F68" s="28"/>
      <c r="G68" s="28"/>
      <c r="H68" s="28"/>
      <c r="I68" s="28"/>
      <c r="J68" s="28"/>
      <c r="K68" s="28"/>
      <c r="L68" s="28">
        <f>(Fuentes!L20+Fuentes!L27)/Calculos!L129</f>
        <v>160120.89299293861</v>
      </c>
      <c r="M68" s="28">
        <f>(Fuentes!M20+Fuentes!M27)/Calculos!M129</f>
        <v>105892.84970594174</v>
      </c>
      <c r="N68" s="36">
        <f>(Fuentes!N20+Fuentes!N27)/Calculos!N129</f>
        <v>160777.4159958793</v>
      </c>
      <c r="O68" s="28">
        <f>(Fuentes!O20+Fuentes!O27)/Calculos!O129</f>
        <v>128491.74437282493</v>
      </c>
      <c r="P68" s="28">
        <f>(Fuentes!P20+Fuentes!P27)/Calculos!P129</f>
        <v>146008.37151913572</v>
      </c>
      <c r="Q68" s="28">
        <f>(Fuentes!Q20+Fuentes!Q27)/Calculos!Q129</f>
        <v>153105.6000923815</v>
      </c>
      <c r="R68" s="28">
        <f>(Fuentes!R20+Fuentes!R27)/Calculos!R129</f>
        <v>162776.98263447458</v>
      </c>
      <c r="S68" s="28">
        <f>(Fuentes!S20+Fuentes!S27)/Calculos!S129</f>
        <v>150500.88086637825</v>
      </c>
      <c r="T68" s="28">
        <f>(Fuentes!T20+Fuentes!T27)/Calculos!T129</f>
        <v>161946.45210666565</v>
      </c>
      <c r="U68" s="28">
        <f>(Fuentes!U20+Fuentes!U27)/Calculos!U129</f>
        <v>161345.76113052166</v>
      </c>
      <c r="V68" s="28">
        <f>(Fuentes!V20+Fuentes!V27)/Calculos!V129</f>
        <v>135744.50576494285</v>
      </c>
    </row>
    <row r="69" spans="1:22" s="14" customFormat="1" ht="12.75" x14ac:dyDescent="0.2">
      <c r="A69" s="28" t="s">
        <v>2988</v>
      </c>
      <c r="B69" s="29" t="s">
        <v>3053</v>
      </c>
      <c r="C69" s="29"/>
      <c r="D69" s="30"/>
      <c r="E69" s="35"/>
      <c r="F69" s="28"/>
      <c r="G69" s="28"/>
      <c r="H69" s="36"/>
      <c r="I69" s="28"/>
      <c r="J69" s="28"/>
      <c r="K69" s="28"/>
      <c r="L69" s="28">
        <f>(Fuentes!L21+Fuentes!L22)/Fuentes!L$9*100</f>
        <v>30.210977573430416</v>
      </c>
      <c r="M69" s="28">
        <f>(Fuentes!M21+Fuentes!M22)/Fuentes!M$9*100</f>
        <v>30.600849170969308</v>
      </c>
      <c r="N69" s="28">
        <f>(Fuentes!N21+Fuentes!N22)/Fuentes!N$9*100</f>
        <v>31.257412315590877</v>
      </c>
      <c r="O69" s="28">
        <f>(Fuentes!O21+Fuentes!O22)/Fuentes!O$9*100</f>
        <v>32.975059019923464</v>
      </c>
      <c r="P69" s="28">
        <f>(Fuentes!P21+Fuentes!P22)/Fuentes!P$9*100</f>
        <v>33.754873234431891</v>
      </c>
      <c r="Q69" s="28">
        <f>(Fuentes!Q21+Fuentes!Q22)/Fuentes!Q$9*100</f>
        <v>34.575275789809972</v>
      </c>
      <c r="R69" s="28">
        <f>(Fuentes!R21+Fuentes!R22)/Fuentes!R$9*100</f>
        <v>33.071832771060414</v>
      </c>
      <c r="S69" s="28">
        <f>(Fuentes!S21+Fuentes!S22)/Fuentes!S$9*100</f>
        <v>33.518241457085338</v>
      </c>
      <c r="T69" s="28">
        <f>(Fuentes!T21+Fuentes!T22)/Fuentes!T$9*100</f>
        <v>33.277164580560864</v>
      </c>
      <c r="U69" s="28">
        <f>(Fuentes!U21+Fuentes!U22)/Fuentes!U$9*100</f>
        <v>36.091212389162884</v>
      </c>
      <c r="V69" s="28">
        <f>(Fuentes!V21+Fuentes!V22)/Fuentes!V$9*100</f>
        <v>34.241739198689828</v>
      </c>
    </row>
    <row r="70" spans="1:22" s="14" customFormat="1" ht="12.75" x14ac:dyDescent="0.2">
      <c r="A70" s="28" t="s">
        <v>2988</v>
      </c>
      <c r="B70" s="29" t="s">
        <v>3054</v>
      </c>
      <c r="C70" s="29"/>
      <c r="D70" s="30"/>
      <c r="E70" s="35"/>
      <c r="F70" s="28"/>
      <c r="G70" s="28"/>
      <c r="H70" s="28"/>
      <c r="I70" s="28"/>
      <c r="J70" s="28"/>
      <c r="K70" s="28"/>
      <c r="L70" s="28">
        <f>(Fuentes!L21+Fuentes!L22+Fuentes!L24+Fuentes!L25+Fuentes!L26+Fuentes!L30)/(Calculos!L133+L136)</f>
        <v>264314.06094077585</v>
      </c>
      <c r="M70" s="28">
        <f>(Fuentes!M21+Fuentes!M22+Fuentes!M24+Fuentes!M25+Fuentes!M26+Fuentes!M30)/(Calculos!M133+M136)</f>
        <v>313159.39535915706</v>
      </c>
      <c r="N70" s="36">
        <f>(Fuentes!N21+Fuentes!N22+Fuentes!N24+Fuentes!N25+Fuentes!N26+Fuentes!N30)/(Calculos!N133+N136)</f>
        <v>351838.23721110821</v>
      </c>
      <c r="O70" s="28">
        <f>(Fuentes!O21+Fuentes!O22+Fuentes!O24+Fuentes!O25+Fuentes!O26+Fuentes!O30)/(Calculos!O133+O136)</f>
        <v>554438.7313848628</v>
      </c>
      <c r="P70" s="28">
        <f>(Fuentes!P21+Fuentes!P22+Fuentes!P24+Fuentes!P25+Fuentes!P26+Fuentes!P30)/(Calculos!P133+P136)</f>
        <v>644952.97810674482</v>
      </c>
      <c r="Q70" s="28">
        <f>(Fuentes!Q21+Fuentes!Q22+Fuentes!Q24+Fuentes!Q25+Fuentes!Q26+Fuentes!Q30)/(Calculos!Q133+Q136)</f>
        <v>698189.85610138369</v>
      </c>
      <c r="R70" s="28">
        <f>(Fuentes!R21+Fuentes!R22+Fuentes!R24+Fuentes!R25+Fuentes!R26+Fuentes!R30)/(Calculos!R133+R136)</f>
        <v>833768.67309218098</v>
      </c>
      <c r="S70" s="28">
        <f>(Fuentes!S21+Fuentes!S22+Fuentes!S24+Fuentes!S25+Fuentes!S26+Fuentes!S30)/(Calculos!S133+S136)</f>
        <v>906006.32126596058</v>
      </c>
      <c r="T70" s="28">
        <f>(Fuentes!T21+Fuentes!T22+Fuentes!T24+Fuentes!T25+Fuentes!T26+Fuentes!T30)/(Calculos!T133+T136)</f>
        <v>953239.82717503281</v>
      </c>
      <c r="U70" s="28">
        <f>(Fuentes!U21+Fuentes!U22+Fuentes!U24+Fuentes!U25+Fuentes!U26+Fuentes!U30)/(Calculos!U133+U136)</f>
        <v>931050.27669194201</v>
      </c>
      <c r="V70" s="28">
        <f>(Fuentes!V21+Fuentes!V22+Fuentes!V24+Fuentes!V25+Fuentes!V26+Fuentes!V30)/(Calculos!V133+V136)</f>
        <v>837774.68185598415</v>
      </c>
    </row>
    <row r="71" spans="1:22" s="14" customFormat="1" ht="12.75" x14ac:dyDescent="0.2">
      <c r="A71" s="28" t="s">
        <v>2988</v>
      </c>
      <c r="B71" s="29" t="s">
        <v>3055</v>
      </c>
      <c r="C71" s="29"/>
      <c r="D71" s="30"/>
      <c r="E71" s="35"/>
      <c r="F71" s="28"/>
      <c r="G71" s="28"/>
      <c r="H71" s="36"/>
      <c r="I71" s="28"/>
      <c r="J71" s="28"/>
      <c r="K71" s="28"/>
      <c r="L71" s="28">
        <f>(Fuentes!L23/Fuentes!L$9)*100</f>
        <v>5.9083133668666372</v>
      </c>
      <c r="M71" s="28">
        <f>(Fuentes!M23/Fuentes!M$9)*100</f>
        <v>5.554202124825836</v>
      </c>
      <c r="N71" s="28">
        <f>(Fuentes!N23/Fuentes!N$9)*100</f>
        <v>5.5430444556931491</v>
      </c>
      <c r="O71" s="28">
        <f>(Fuentes!O23/Fuentes!O$9)*100</f>
        <v>5.4244064813101769</v>
      </c>
      <c r="P71" s="28">
        <f>(Fuentes!P23/Fuentes!P$9)*100</f>
        <v>5.3283412707554643</v>
      </c>
      <c r="Q71" s="28">
        <f>(Fuentes!Q23/Fuentes!Q$9)*100</f>
        <v>5.2928948175290005</v>
      </c>
      <c r="R71" s="28">
        <f>(Fuentes!R23/Fuentes!R$9)*100</f>
        <v>5.0513835181425497</v>
      </c>
      <c r="S71" s="28">
        <f>(Fuentes!S23/Fuentes!S$9)*100</f>
        <v>4.917600994150999</v>
      </c>
      <c r="T71" s="28">
        <f>(Fuentes!T23/Fuentes!T$9)*100</f>
        <v>4.7437435769754535</v>
      </c>
      <c r="U71" s="28">
        <f>(Fuentes!U23/Fuentes!U$9)*100</f>
        <v>4.7365750100209558</v>
      </c>
      <c r="V71" s="28">
        <f>(Fuentes!V23/Fuentes!V$9)*100</f>
        <v>4.8449684115964278</v>
      </c>
    </row>
    <row r="72" spans="1:22" s="14" customFormat="1" ht="12.75" x14ac:dyDescent="0.2">
      <c r="A72" s="28" t="s">
        <v>2988</v>
      </c>
      <c r="B72" s="29" t="s">
        <v>3056</v>
      </c>
      <c r="C72" s="29"/>
      <c r="D72" s="30"/>
      <c r="E72" s="35"/>
      <c r="F72" s="28"/>
      <c r="G72" s="28"/>
      <c r="H72" s="28"/>
      <c r="I72" s="28"/>
      <c r="J72" s="28"/>
      <c r="K72" s="28"/>
      <c r="L72" s="28">
        <f>Fuentes!L23/Calculos!L137</f>
        <v>176089.37295462997</v>
      </c>
      <c r="M72" s="28">
        <f>Fuentes!M23/Calculos!M137</f>
        <v>205120.7456099127</v>
      </c>
      <c r="N72" s="36">
        <f>Fuentes!N23/Calculos!N137</f>
        <v>280570.12065972865</v>
      </c>
      <c r="O72" s="28">
        <f>Fuentes!O23/Calculos!O137</f>
        <v>283555.61402238905</v>
      </c>
      <c r="P72" s="28">
        <f>Fuentes!P23/Calculos!P137</f>
        <v>337285.64199471503</v>
      </c>
      <c r="Q72" s="28">
        <f>Fuentes!Q23/Calculos!Q137</f>
        <v>309702.41340389225</v>
      </c>
      <c r="R72" s="28">
        <f>Fuentes!R23/Calculos!R137</f>
        <v>344847.12960733357</v>
      </c>
      <c r="S72" s="28">
        <f>Fuentes!S23/Calculos!S137</f>
        <v>359013.03475026065</v>
      </c>
      <c r="T72" s="28">
        <f>Fuentes!T23/Calculos!T137</f>
        <v>324385.0118898935</v>
      </c>
      <c r="U72" s="28">
        <f>Fuentes!U23/Calculos!U137</f>
        <v>338775.0329421034</v>
      </c>
      <c r="V72" s="28">
        <f>Fuentes!V23/Calculos!V137</f>
        <v>298762.88129465625</v>
      </c>
    </row>
    <row r="73" spans="1:22" s="14" customFormat="1" ht="12.75" x14ac:dyDescent="0.2">
      <c r="A73" s="28" t="s">
        <v>2988</v>
      </c>
      <c r="B73" s="29" t="s">
        <v>3057</v>
      </c>
      <c r="C73" s="29">
        <f>(Fuentes!C7/Fuentes!C44)*100</f>
        <v>0.62159182160962845</v>
      </c>
      <c r="D73" s="30">
        <f>(Fuentes!D7/Fuentes!D44)*100</f>
        <v>0.83285812697977291</v>
      </c>
      <c r="E73" s="35">
        <f>(Fuentes!E7/Fuentes!E44)*100</f>
        <v>0.88285050810299448</v>
      </c>
      <c r="F73" s="28">
        <f>(Fuentes!F7/Fuentes!F44)*100</f>
        <v>0.88656951774123116</v>
      </c>
      <c r="G73" s="28">
        <f>(Fuentes!G7/Fuentes!G44)*100</f>
        <v>0.91372768223038259</v>
      </c>
      <c r="H73" s="36">
        <f>(Fuentes!H7/Fuentes!H44)*100</f>
        <v>0.88882959274950335</v>
      </c>
      <c r="I73" s="28">
        <f>(Fuentes!I7/Fuentes!I44)*100</f>
        <v>0.86490372738706556</v>
      </c>
      <c r="J73" s="28">
        <f>(Fuentes!J7/Fuentes!J44)*100</f>
        <v>0.88235391011723951</v>
      </c>
      <c r="K73" s="28">
        <f>(Fuentes!K7/Fuentes!K44)*100</f>
        <v>0.95553924887938047</v>
      </c>
      <c r="L73" s="28">
        <f>(Fuentes!L7/Fuentes!L44)*100</f>
        <v>1.1073944823599615</v>
      </c>
      <c r="M73" s="28">
        <f>(Fuentes!M7/Fuentes!M44)*100</f>
        <v>1.1513132962775523</v>
      </c>
      <c r="N73" s="28">
        <f>(Fuentes!N7/Fuentes!N44)*100</f>
        <v>1.2053902160893673</v>
      </c>
      <c r="O73" s="28">
        <f>(Fuentes!O7/Fuentes!O44)*100</f>
        <v>1.1965491169069684</v>
      </c>
      <c r="P73" s="28">
        <f>(Fuentes!P7/Fuentes!P44)*100</f>
        <v>1.255622133755534</v>
      </c>
      <c r="Q73" s="28">
        <f>(Fuentes!Q7/Fuentes!Q44)*100</f>
        <v>1.2683697336962962</v>
      </c>
      <c r="R73" s="28">
        <f>(Fuentes!R7/Fuentes!R44)*100</f>
        <v>1.3074443817946086</v>
      </c>
      <c r="S73" s="28">
        <f>(Fuentes!S7/Fuentes!S44)*100</f>
        <v>1.2870650131479044</v>
      </c>
      <c r="T73" s="28">
        <f>(Fuentes!T7/Fuentes!T44)*100</f>
        <v>1.3459785818120245</v>
      </c>
      <c r="U73" s="28"/>
      <c r="V73" s="28"/>
    </row>
    <row r="74" spans="1:22" s="14" customFormat="1" ht="12.75" x14ac:dyDescent="0.2">
      <c r="A74" s="28" t="s">
        <v>2988</v>
      </c>
      <c r="B74" s="29" t="s">
        <v>3058</v>
      </c>
      <c r="C74" s="29">
        <f>(Fuentes!C7/Fuentes!C45)*100</f>
        <v>0.66304350956003233</v>
      </c>
      <c r="D74" s="30">
        <f>(Fuentes!D7/Fuentes!D45)*100</f>
        <v>0.85851581061269255</v>
      </c>
      <c r="E74" s="35">
        <f>(Fuentes!E7/Fuentes!E45)*100</f>
        <v>0.90101499430688803</v>
      </c>
      <c r="F74" s="28">
        <f>(Fuentes!F7/Fuentes!F45)*100</f>
        <v>0.90315389555018777</v>
      </c>
      <c r="G74" s="28">
        <f>(Fuentes!G7/Fuentes!G45)*100</f>
        <v>0.91701178826172369</v>
      </c>
      <c r="H74" s="28">
        <f>(Fuentes!H7/Fuentes!H45)*100</f>
        <v>0.8893985052261778</v>
      </c>
      <c r="I74" s="28">
        <f>(Fuentes!I7/Fuentes!I45)*100</f>
        <v>0.86207304079137448</v>
      </c>
      <c r="J74" s="28">
        <f>(Fuentes!J7/Fuentes!J45)*100</f>
        <v>0.86843510504959098</v>
      </c>
      <c r="K74" s="28">
        <f>(Fuentes!K7/Fuentes!K45)*100</f>
        <v>0.93134759165521797</v>
      </c>
      <c r="L74" s="28">
        <f>(Fuentes!L7/Fuentes!L45)*100</f>
        <v>1.0646504551223741</v>
      </c>
      <c r="M74" s="28">
        <f>(Fuentes!M7/Fuentes!M45)*100</f>
        <v>1.1213382757476917</v>
      </c>
      <c r="N74" s="36">
        <f>(Fuentes!N7/Fuentes!N45)*100</f>
        <v>1.1761443692284081</v>
      </c>
      <c r="O74" s="28">
        <f>(Fuentes!O7/Fuentes!O45)*100</f>
        <v>1.166361604475832</v>
      </c>
      <c r="P74" s="28">
        <f>(Fuentes!P7/Fuentes!P45)*100</f>
        <v>1.2427901878072842</v>
      </c>
      <c r="Q74" s="28">
        <f>(Fuentes!Q7/Fuentes!Q45)*100</f>
        <v>1.242660434793466</v>
      </c>
      <c r="R74" s="28">
        <f>(Fuentes!R7/Fuentes!R45)*100</f>
        <v>1.2546487664832988</v>
      </c>
      <c r="S74" s="28">
        <f>(Fuentes!S7/Fuentes!S45)*100</f>
        <v>1.2421120912626242</v>
      </c>
      <c r="T74" s="28">
        <f>(Fuentes!T7/Fuentes!T45)*100</f>
        <v>1.3252491055124207</v>
      </c>
      <c r="U74" s="28">
        <f>(Fuentes!U7/Fuentes!U45)*100</f>
        <v>1.2831570559312655</v>
      </c>
      <c r="V74" s="28">
        <f>(Fuentes!V7/Fuentes!V45)*100</f>
        <v>1.6948259005666089</v>
      </c>
    </row>
    <row r="75" spans="1:22" s="14" customFormat="1" ht="12.75" x14ac:dyDescent="0.2">
      <c r="A75" s="28" t="s">
        <v>2988</v>
      </c>
      <c r="B75" s="29" t="s">
        <v>3059</v>
      </c>
      <c r="C75" s="29">
        <f>(Fuentes!C7/Fuentes!C5)*100</f>
        <v>77.383224228468947</v>
      </c>
      <c r="D75" s="30">
        <f>(Fuentes!D7/Fuentes!D5)*100</f>
        <v>92.083236187454659</v>
      </c>
      <c r="E75" s="35">
        <f>(Fuentes!E7/Fuentes!E5)*100</f>
        <v>90.200376028849206</v>
      </c>
      <c r="F75" s="28">
        <f>(Fuentes!F7/Fuentes!F5)*100</f>
        <v>88.84915861051843</v>
      </c>
      <c r="G75" s="28">
        <f>(Fuentes!G7/Fuentes!G5)*100</f>
        <v>94.016316211746187</v>
      </c>
      <c r="H75" s="36">
        <f>(Fuentes!H7/Fuentes!H5)*100</f>
        <v>92.21573897256765</v>
      </c>
      <c r="I75" s="28">
        <f>(Fuentes!I7/Fuentes!I5)*100</f>
        <v>95.748744551854031</v>
      </c>
      <c r="J75" s="28">
        <f>(Fuentes!J7/Fuentes!J5)*100</f>
        <v>94.74888618792383</v>
      </c>
      <c r="K75" s="28">
        <f>(Fuentes!K7/Fuentes!K5)*100</f>
        <v>89.099503243243731</v>
      </c>
      <c r="L75" s="28">
        <f>(Fuentes!L7/Fuentes!L5)*100</f>
        <v>90.671160472317169</v>
      </c>
      <c r="M75" s="28">
        <f>(Fuentes!M7/Fuentes!M5)*100</f>
        <v>91.95259741755504</v>
      </c>
      <c r="N75" s="28">
        <f>(Fuentes!N7/Fuentes!N5)*100</f>
        <v>94.378370890180477</v>
      </c>
      <c r="O75" s="28">
        <f>(Fuentes!O7/Fuentes!O5)*100</f>
        <v>93.554286896518008</v>
      </c>
      <c r="P75" s="28">
        <f>(Fuentes!P7/Fuentes!P5)*100</f>
        <v>96.859516961395016</v>
      </c>
      <c r="Q75" s="28">
        <f>(Fuentes!Q7/Fuentes!Q5)*100</f>
        <v>95.778943446502694</v>
      </c>
      <c r="R75" s="28">
        <f>(Fuentes!R7/Fuentes!R5)*100</f>
        <v>92.18182223332191</v>
      </c>
      <c r="S75" s="28">
        <f>(Fuentes!S7/Fuentes!S5)*100</f>
        <v>93.224882771673208</v>
      </c>
      <c r="T75" s="28">
        <f>(Fuentes!T7/Fuentes!T5)*100</f>
        <v>93.901296222717505</v>
      </c>
      <c r="U75" s="28">
        <f>(Fuentes!U7/Fuentes!U5)*100</f>
        <v>94.983841417026383</v>
      </c>
      <c r="V75" s="28">
        <f>(Fuentes!V7/Fuentes!V5)*100</f>
        <v>130.37202649624561</v>
      </c>
    </row>
    <row r="76" spans="1:22" s="14" customFormat="1" ht="12.75" x14ac:dyDescent="0.2">
      <c r="A76" s="28" t="s">
        <v>2988</v>
      </c>
      <c r="B76" s="29" t="s">
        <v>3060</v>
      </c>
      <c r="C76" s="29">
        <f>(Fuentes!C35/Fuentes!C7)*100</f>
        <v>-6.2285792706408456</v>
      </c>
      <c r="D76" s="30">
        <f>(Fuentes!D35/Fuentes!D7)*100</f>
        <v>15.282007321683219</v>
      </c>
      <c r="E76" s="35">
        <f>(Fuentes!E35/Fuentes!E7)*100</f>
        <v>13.497012677055434</v>
      </c>
      <c r="F76" s="28">
        <f>(Fuentes!F35/Fuentes!F7)*100</f>
        <v>13.23228535033755</v>
      </c>
      <c r="G76" s="28">
        <f>(Fuentes!G35/Fuentes!G7)*100</f>
        <v>12.906433548504184</v>
      </c>
      <c r="H76" s="28">
        <f>(Fuentes!H35/Fuentes!H7)*100</f>
        <v>11.789343070571027</v>
      </c>
      <c r="I76" s="28">
        <f>(Fuentes!I35/Fuentes!I7)*100</f>
        <v>12.381507343319807</v>
      </c>
      <c r="J76" s="28">
        <f>(Fuentes!J35/Fuentes!J7)*100</f>
        <v>15.332371997991556</v>
      </c>
      <c r="K76" s="28">
        <f>(Fuentes!K35/Fuentes!K7)*100</f>
        <v>15.515439337481171</v>
      </c>
      <c r="L76" s="28">
        <f>(Fuentes!L35/Fuentes!L7)*100</f>
        <v>15.016670825939885</v>
      </c>
      <c r="M76" s="28">
        <f>(Fuentes!M35/Fuentes!M7)*100</f>
        <v>11.716456112622817</v>
      </c>
      <c r="N76" s="36">
        <f>(Fuentes!N35/Fuentes!N7)*100</f>
        <v>11.726198676025488</v>
      </c>
      <c r="O76" s="28">
        <f>(Fuentes!O35/Fuentes!O7)*100</f>
        <v>10.652038856470963</v>
      </c>
      <c r="P76" s="28">
        <f>(Fuentes!P35/Fuentes!P7)*100</f>
        <v>11.139320611856766</v>
      </c>
      <c r="Q76" s="28">
        <f>(Fuentes!Q35/Fuentes!Q7)*100</f>
        <v>11.154159966822204</v>
      </c>
      <c r="R76" s="28">
        <f>(Fuentes!R35/Fuentes!R7)*100</f>
        <v>11.580433944179774</v>
      </c>
      <c r="S76" s="28">
        <f>(Fuentes!S35/Fuentes!S7)*100</f>
        <v>13.125057784255306</v>
      </c>
      <c r="T76" s="28">
        <f>(Fuentes!T35/Fuentes!T7)*100</f>
        <v>19.895696936446285</v>
      </c>
      <c r="U76" s="28">
        <f>(Fuentes!U35/Fuentes!U7)*100</f>
        <v>16.580282010916143</v>
      </c>
      <c r="V76" s="28">
        <f>(Fuentes!V35/Fuentes!V7)*100</f>
        <v>38.449284907611961</v>
      </c>
    </row>
    <row r="77" spans="1:22" s="14" customFormat="1" ht="12.75" x14ac:dyDescent="0.2">
      <c r="A77" s="28" t="s">
        <v>2988</v>
      </c>
      <c r="B77" s="29" t="s">
        <v>3061</v>
      </c>
      <c r="C77" s="29">
        <f>(Fuentes!C36/Fuentes!C7)*100</f>
        <v>106.22857927064085</v>
      </c>
      <c r="D77" s="30">
        <f>(Fuentes!D36/Fuentes!D7)*100</f>
        <v>84.717992678316776</v>
      </c>
      <c r="E77" s="35">
        <f>(Fuentes!E36/Fuentes!E7)*100</f>
        <v>86.502987322944563</v>
      </c>
      <c r="F77" s="28">
        <f>(Fuentes!F36/Fuentes!F7)*100</f>
        <v>86.767714649662452</v>
      </c>
      <c r="G77" s="28">
        <f>(Fuentes!G36/Fuentes!G7)*100</f>
        <v>87.093566451495818</v>
      </c>
      <c r="H77" s="36">
        <f>(Fuentes!H36/Fuentes!H7)*100</f>
        <v>88.210656929428978</v>
      </c>
      <c r="I77" s="28">
        <f>(Fuentes!I36/Fuentes!I7)*100</f>
        <v>87.618492656680189</v>
      </c>
      <c r="J77" s="28">
        <f>(Fuentes!J36/Fuentes!J7)*100</f>
        <v>84.667628002008442</v>
      </c>
      <c r="K77" s="28">
        <f>(Fuentes!K36/Fuentes!K7)*100</f>
        <v>84.484560662518831</v>
      </c>
      <c r="L77" s="28">
        <f>(Fuentes!L36/Fuentes!L7)*100</f>
        <v>84.983329174060117</v>
      </c>
      <c r="M77" s="28">
        <f>(Fuentes!M36/Fuentes!M7)*100</f>
        <v>88.283543887377178</v>
      </c>
      <c r="N77" s="28">
        <f>(Fuentes!N36/Fuentes!N7)*100</f>
        <v>88.27380132397451</v>
      </c>
      <c r="O77" s="28">
        <f>(Fuentes!O36/Fuentes!O7)*100</f>
        <v>89.347961143529048</v>
      </c>
      <c r="P77" s="28">
        <f>(Fuentes!P36/Fuentes!P7)*100</f>
        <v>88.86067938814324</v>
      </c>
      <c r="Q77" s="28">
        <f>(Fuentes!Q36/Fuentes!Q7)*100</f>
        <v>88.845840033177794</v>
      </c>
      <c r="R77" s="28">
        <f>(Fuentes!R36/Fuentes!R7)*100</f>
        <v>88.419566055820226</v>
      </c>
      <c r="S77" s="28">
        <f>(Fuentes!S36/Fuentes!S7)*100</f>
        <v>86.874942215744696</v>
      </c>
      <c r="T77" s="28">
        <f>(Fuentes!T36/Fuentes!T7)*100</f>
        <v>80.104303063553715</v>
      </c>
      <c r="U77" s="28">
        <f>(Fuentes!U36/Fuentes!U7)*100</f>
        <v>83.41971798908385</v>
      </c>
      <c r="V77" s="28">
        <f>(Fuentes!V36/Fuentes!V7)*100</f>
        <v>61.550715092388039</v>
      </c>
    </row>
    <row r="78" spans="1:22" s="14" customFormat="1" ht="12.75" x14ac:dyDescent="0.2">
      <c r="A78" s="28" t="s">
        <v>2988</v>
      </c>
      <c r="B78" s="29" t="s">
        <v>3062</v>
      </c>
      <c r="C78" s="29">
        <f>(Fuentes!C37/Fuentes!C36)*100</f>
        <v>17.259116875787843</v>
      </c>
      <c r="D78" s="30">
        <f>(Fuentes!D37/Fuentes!D36)*100</f>
        <v>17.902269439141268</v>
      </c>
      <c r="E78" s="35">
        <f>(Fuentes!E37/Fuentes!E36)*100</f>
        <v>17.232331077042989</v>
      </c>
      <c r="F78" s="28">
        <f>(Fuentes!F37/Fuentes!F36)*100</f>
        <v>17.911241314332301</v>
      </c>
      <c r="G78" s="28">
        <f>(Fuentes!G37/Fuentes!G36)*100</f>
        <v>18.662862467217536</v>
      </c>
      <c r="H78" s="28">
        <f>(Fuentes!H37/Fuentes!H36)*100</f>
        <v>17.91538434756713</v>
      </c>
      <c r="I78" s="28">
        <f>(Fuentes!I37/Fuentes!I36)*100</f>
        <v>17.829402143731954</v>
      </c>
      <c r="J78" s="28">
        <f>(Fuentes!J37/Fuentes!J36)*100</f>
        <v>17.813339972920616</v>
      </c>
      <c r="K78" s="28">
        <f>(Fuentes!K37/Fuentes!K36)*100</f>
        <v>17.579734837268798</v>
      </c>
      <c r="L78" s="28">
        <f>(Fuentes!L37/Fuentes!L36)*100</f>
        <v>17.425014481383187</v>
      </c>
      <c r="M78" s="28">
        <f>(Fuentes!M37/Fuentes!M36)*100</f>
        <v>16.656193267713476</v>
      </c>
      <c r="N78" s="36">
        <f>(Fuentes!N37/Fuentes!N36)*100</f>
        <v>16.670598810900302</v>
      </c>
      <c r="O78" s="28">
        <f>(Fuentes!O37/Fuentes!O36)*100</f>
        <v>16.353129778405293</v>
      </c>
      <c r="P78" s="28">
        <f>(Fuentes!P37/Fuentes!P36)*100</f>
        <v>16.772717922497247</v>
      </c>
      <c r="Q78" s="28">
        <f>(Fuentes!Q37/Fuentes!Q36)*100</f>
        <v>16.365335188202028</v>
      </c>
      <c r="R78" s="28">
        <f>(Fuentes!R37/Fuentes!R36)*100</f>
        <v>16.523766221140214</v>
      </c>
      <c r="S78" s="28">
        <f>(Fuentes!S37/Fuentes!S36)*100</f>
        <v>16.473791450090829</v>
      </c>
      <c r="T78" s="28">
        <f>(Fuentes!T37/Fuentes!T36)*100</f>
        <v>16.555360820062219</v>
      </c>
      <c r="U78" s="28">
        <f>(Fuentes!U37/Fuentes!U36)*100</f>
        <v>16.36001346209461</v>
      </c>
      <c r="V78" s="28">
        <f>(Fuentes!V37/Fuentes!V36)*100</f>
        <v>16.248684004287121</v>
      </c>
    </row>
    <row r="79" spans="1:22" s="14" customFormat="1" ht="12.75" x14ac:dyDescent="0.2">
      <c r="A79" s="28" t="s">
        <v>2988</v>
      </c>
      <c r="B79" s="29" t="s">
        <v>3063</v>
      </c>
      <c r="C79" s="29">
        <f>(Fuentes!C38/Fuentes!C36)*100</f>
        <v>42.254040950875662</v>
      </c>
      <c r="D79" s="30">
        <f>(Fuentes!D38/Fuentes!D36)*100</f>
        <v>42.176746006296028</v>
      </c>
      <c r="E79" s="35">
        <f>(Fuentes!E38/Fuentes!E36)*100</f>
        <v>40.860778931717093</v>
      </c>
      <c r="F79" s="28">
        <f>(Fuentes!F38/Fuentes!F36)*100</f>
        <v>39.958885009266197</v>
      </c>
      <c r="G79" s="28">
        <f>(Fuentes!G38/Fuentes!G36)*100</f>
        <v>39.002860105663949</v>
      </c>
      <c r="H79" s="36">
        <f>(Fuentes!H38/Fuentes!H36)*100</f>
        <v>39.94503992614429</v>
      </c>
      <c r="I79" s="28">
        <f>(Fuentes!I38/Fuentes!I36)*100</f>
        <v>39.617435683191736</v>
      </c>
      <c r="J79" s="28">
        <f>(Fuentes!J38/Fuentes!J36)*100</f>
        <v>39.686413930182262</v>
      </c>
      <c r="K79" s="28">
        <f>(Fuentes!K38/Fuentes!K36)*100</f>
        <v>38.945224140398366</v>
      </c>
      <c r="L79" s="28">
        <f>(Fuentes!L38/Fuentes!L36)*100</f>
        <v>38.103898513958661</v>
      </c>
      <c r="M79" s="28">
        <f>(Fuentes!M38/Fuentes!M36)*100</f>
        <v>38.477483547236545</v>
      </c>
      <c r="N79" s="28">
        <f>(Fuentes!N38/Fuentes!N36)*100</f>
        <v>38.058278676387687</v>
      </c>
      <c r="O79" s="28">
        <f>(Fuentes!O38/Fuentes!O36)*100</f>
        <v>38.156920435344603</v>
      </c>
      <c r="P79" s="28">
        <f>(Fuentes!P38/Fuentes!P36)*100</f>
        <v>37.59417111940104</v>
      </c>
      <c r="Q79" s="28">
        <f>(Fuentes!Q38/Fuentes!Q36)*100</f>
        <v>38.225924267276824</v>
      </c>
      <c r="R79" s="28">
        <f>(Fuentes!R38/Fuentes!R36)*100</f>
        <v>39.378504755991614</v>
      </c>
      <c r="S79" s="28">
        <f>(Fuentes!S38/Fuentes!S36)*100</f>
        <v>39.180517492725428</v>
      </c>
      <c r="T79" s="28">
        <f>(Fuentes!T38/Fuentes!T36)*100</f>
        <v>39.130687621949171</v>
      </c>
      <c r="U79" s="28">
        <f>(Fuentes!U38/Fuentes!U36)*100</f>
        <v>39.166614646577116</v>
      </c>
      <c r="V79" s="28">
        <f>(Fuentes!V38/Fuentes!V36)*100</f>
        <v>39.151348771135808</v>
      </c>
    </row>
    <row r="80" spans="1:22" s="14" customFormat="1" ht="12.75" x14ac:dyDescent="0.2">
      <c r="A80" s="28" t="s">
        <v>2988</v>
      </c>
      <c r="B80" s="29" t="s">
        <v>3064</v>
      </c>
      <c r="C80" s="29">
        <f>(Fuentes!C39/Fuentes!C36)*100</f>
        <v>19.643482355327038</v>
      </c>
      <c r="D80" s="30">
        <f>(Fuentes!D39/Fuentes!D36)*100</f>
        <v>19.849328294452604</v>
      </c>
      <c r="E80" s="35">
        <f>(Fuentes!E39/Fuentes!E36)*100</f>
        <v>21.836783216725337</v>
      </c>
      <c r="F80" s="28">
        <f>(Fuentes!F39/Fuentes!F36)*100</f>
        <v>22.084003535804502</v>
      </c>
      <c r="G80" s="28">
        <f>(Fuentes!G39/Fuentes!G36)*100</f>
        <v>19.49405343502043</v>
      </c>
      <c r="H80" s="28">
        <f>(Fuentes!H39/Fuentes!H36)*100</f>
        <v>19.295825391994217</v>
      </c>
      <c r="I80" s="28">
        <f>(Fuentes!I39/Fuentes!I36)*100</f>
        <v>19.248636017011307</v>
      </c>
      <c r="J80" s="28">
        <f>(Fuentes!J39/Fuentes!J36)*100</f>
        <v>19.496779197603534</v>
      </c>
      <c r="K80" s="28">
        <f>(Fuentes!K39/Fuentes!K36)*100</f>
        <v>19.125034427781276</v>
      </c>
      <c r="L80" s="28">
        <f>(Fuentes!L39/Fuentes!L36)*100</f>
        <v>20.141884561710096</v>
      </c>
      <c r="M80" s="28">
        <f>(Fuentes!M39/Fuentes!M36)*100</f>
        <v>19.739690347964071</v>
      </c>
      <c r="N80" s="36">
        <f>(Fuentes!N39/Fuentes!N36)*100</f>
        <v>20.234222471462601</v>
      </c>
      <c r="O80" s="28">
        <f>(Fuentes!O39/Fuentes!O36)*100</f>
        <v>20.121231148187</v>
      </c>
      <c r="P80" s="28">
        <f>(Fuentes!P39/Fuentes!P36)*100</f>
        <v>20.183084409309622</v>
      </c>
      <c r="Q80" s="28">
        <f>(Fuentes!Q39/Fuentes!Q36)*100</f>
        <v>20.026358166017431</v>
      </c>
      <c r="R80" s="28">
        <f>(Fuentes!R39/Fuentes!R36)*100</f>
        <v>20.190273585082309</v>
      </c>
      <c r="S80" s="28">
        <f>(Fuentes!S39/Fuentes!S36)*100</f>
        <v>20.515742413486638</v>
      </c>
      <c r="T80" s="28">
        <f>(Fuentes!T39/Fuentes!T36)*100</f>
        <v>20.213635793835032</v>
      </c>
      <c r="U80" s="28">
        <f>(Fuentes!U39/Fuentes!U36)*100</f>
        <v>19.985002875849087</v>
      </c>
      <c r="V80" s="28">
        <f>(Fuentes!V39/Fuentes!V36)*100</f>
        <v>20.215667282608919</v>
      </c>
    </row>
    <row r="81" spans="1:22" s="14" customFormat="1" ht="12.75" x14ac:dyDescent="0.2">
      <c r="A81" s="28" t="s">
        <v>2988</v>
      </c>
      <c r="B81" s="29" t="s">
        <v>3065</v>
      </c>
      <c r="C81" s="29">
        <f>(Fuentes!C40/Fuentes!C36)*100</f>
        <v>13.081433594824643</v>
      </c>
      <c r="D81" s="30">
        <f>(Fuentes!D40/Fuentes!D36)*100</f>
        <v>12.821400149841388</v>
      </c>
      <c r="E81" s="35">
        <f>(Fuentes!E40/Fuentes!E36)*100</f>
        <v>12.469556978598721</v>
      </c>
      <c r="F81" s="28">
        <f>(Fuentes!F40/Fuentes!F36)*100</f>
        <v>12.474872686267039</v>
      </c>
      <c r="G81" s="28">
        <f>(Fuentes!G40/Fuentes!G36)*100</f>
        <v>11.634265869517954</v>
      </c>
      <c r="H81" s="36">
        <f>(Fuentes!H40/Fuentes!H36)*100</f>
        <v>12.333194413492484</v>
      </c>
      <c r="I81" s="28">
        <f>(Fuentes!I40/Fuentes!I36)*100</f>
        <v>12.492947163591984</v>
      </c>
      <c r="J81" s="28">
        <f>(Fuentes!J40/Fuentes!J36)*100</f>
        <v>12.382200111267869</v>
      </c>
      <c r="K81" s="28">
        <f>(Fuentes!K40/Fuentes!K36)*100</f>
        <v>13.267011196642603</v>
      </c>
      <c r="L81" s="28">
        <f>(Fuentes!L40/Fuentes!L36)*100</f>
        <v>13.485180843727237</v>
      </c>
      <c r="M81" s="28">
        <f>(Fuentes!M40/Fuentes!M36)*100</f>
        <v>14.282634691448642</v>
      </c>
      <c r="N81" s="28">
        <f>(Fuentes!N40/Fuentes!N36)*100</f>
        <v>14.561681550560548</v>
      </c>
      <c r="O81" s="28">
        <f>(Fuentes!O40/Fuentes!O36)*100</f>
        <v>13.227059676784863</v>
      </c>
      <c r="P81" s="28">
        <f>(Fuentes!P40/Fuentes!P36)*100</f>
        <v>12.896119865554626</v>
      </c>
      <c r="Q81" s="28">
        <f>(Fuentes!Q40/Fuentes!Q36)*100</f>
        <v>12.850307507572417</v>
      </c>
      <c r="R81" s="28">
        <f>(Fuentes!R40/Fuentes!R36)*100</f>
        <v>13.140589083743698</v>
      </c>
      <c r="S81" s="28">
        <f>(Fuentes!S40/Fuentes!S36)*100</f>
        <v>12.843544314174194</v>
      </c>
      <c r="T81" s="28">
        <f>(Fuentes!T40/Fuentes!T36)*100</f>
        <v>12.965430591026401</v>
      </c>
      <c r="U81" s="28">
        <f>(Fuentes!U40/Fuentes!U36)*100</f>
        <v>12.839656451022257</v>
      </c>
      <c r="V81" s="28">
        <f>(Fuentes!V40/Fuentes!V36)*100</f>
        <v>12.740512270118984</v>
      </c>
    </row>
    <row r="82" spans="1:22" s="14" customFormat="1" ht="12.75" x14ac:dyDescent="0.2">
      <c r="A82" s="28" t="s">
        <v>2988</v>
      </c>
      <c r="B82" s="29" t="s">
        <v>3066</v>
      </c>
      <c r="C82" s="29">
        <f>(Fuentes!C41/Fuentes!C36)*100</f>
        <v>7.5219230600670262</v>
      </c>
      <c r="D82" s="30">
        <f>(Fuentes!D41/Fuentes!D36)*100</f>
        <v>7.25025611026871</v>
      </c>
      <c r="E82" s="35">
        <f>(Fuentes!E41/Fuentes!E36)*100</f>
        <v>7.6005497959158621</v>
      </c>
      <c r="F82" s="28">
        <f>(Fuentes!F41/Fuentes!F36)*100</f>
        <v>7.5709974543299561</v>
      </c>
      <c r="G82" s="28">
        <f>(Fuentes!G41/Fuentes!G36)*100</f>
        <v>7.5408799824680868</v>
      </c>
      <c r="H82" s="28">
        <f>(Fuentes!H41/Fuentes!H36)*100</f>
        <v>7.3862914449567096</v>
      </c>
      <c r="I82" s="28">
        <f>(Fuentes!I41/Fuentes!I36)*100</f>
        <v>7.5896373287764964</v>
      </c>
      <c r="J82" s="28">
        <f>(Fuentes!J41/Fuentes!J36)*100</f>
        <v>7.6051500871916877</v>
      </c>
      <c r="K82" s="28">
        <f>(Fuentes!K41/Fuentes!K36)*100</f>
        <v>8.3275911740846187</v>
      </c>
      <c r="L82" s="28">
        <f>(Fuentes!L41/Fuentes!L36)*100</f>
        <v>8.2915138155561294</v>
      </c>
      <c r="M82" s="28">
        <f>(Fuentes!M41/Fuentes!M36)*100</f>
        <v>8.6617073648859826</v>
      </c>
      <c r="N82" s="36">
        <f>(Fuentes!N41/Fuentes!N36)*100</f>
        <v>8.3320990784641591</v>
      </c>
      <c r="O82" s="28">
        <f>(Fuentes!O41/Fuentes!O36)*100</f>
        <v>8.6323134830589154</v>
      </c>
      <c r="P82" s="28">
        <f>(Fuentes!P41/Fuentes!P36)*100</f>
        <v>8.6965502684936187</v>
      </c>
      <c r="Q82" s="28">
        <f>(Fuentes!Q41/Fuentes!Q36)*100</f>
        <v>8.9071955804769729</v>
      </c>
      <c r="R82" s="28">
        <f>(Fuentes!R41/Fuentes!R36)*100</f>
        <v>8.9599955950307599</v>
      </c>
      <c r="S82" s="28">
        <f>(Fuentes!S41/Fuentes!S36)*100</f>
        <v>8.9648939157298368</v>
      </c>
      <c r="T82" s="28">
        <f>(Fuentes!T41/Fuentes!T36)*100</f>
        <v>9.0611163080315382</v>
      </c>
      <c r="U82" s="28">
        <f>(Fuentes!U41/Fuentes!U36)*100</f>
        <v>9.6553462084327677</v>
      </c>
      <c r="V82" s="28">
        <f>(Fuentes!V41/Fuentes!V36)*100</f>
        <v>9.6154091309233358</v>
      </c>
    </row>
    <row r="83" spans="1:22" s="14" customFormat="1" ht="12.75" x14ac:dyDescent="0.2">
      <c r="A83" s="28" t="s">
        <v>2988</v>
      </c>
      <c r="B83" s="29" t="s">
        <v>3067</v>
      </c>
      <c r="C83" s="29"/>
      <c r="D83" s="30"/>
      <c r="E83" s="35"/>
      <c r="F83" s="28"/>
      <c r="G83" s="28"/>
      <c r="H83" s="36"/>
      <c r="I83" s="28"/>
      <c r="J83" s="28"/>
      <c r="K83" s="28"/>
      <c r="L83" s="28"/>
      <c r="M83" s="28"/>
      <c r="N83" s="28"/>
      <c r="O83" s="28">
        <f>(Fuentes!O42/Fuentes!O36)*100</f>
        <v>1.4600404732954209</v>
      </c>
      <c r="P83" s="28">
        <f>(Fuentes!P42/Fuentes!P36)*100</f>
        <v>1.9085076333436022</v>
      </c>
      <c r="Q83" s="28">
        <f>(Fuentes!Q42/Fuentes!Q36)*100</f>
        <v>1.7021850764482815</v>
      </c>
      <c r="R83" s="28">
        <f>(Fuentes!R42/Fuentes!R36)*100</f>
        <v>1.8068707590114026</v>
      </c>
      <c r="S83" s="28">
        <f>(Fuentes!S42/Fuentes!S36)*100</f>
        <v>2.0215104137930782</v>
      </c>
      <c r="T83" s="28">
        <f>(Fuentes!T42/Fuentes!T36)*100</f>
        <v>2.0737688650956407</v>
      </c>
      <c r="U83" s="28">
        <f>(Fuentes!U42/Fuentes!U36)*100</f>
        <v>1.9933663560241617</v>
      </c>
      <c r="V83" s="28">
        <f>(Fuentes!V42/Fuentes!V36)*100</f>
        <v>2.028378540925841</v>
      </c>
    </row>
    <row r="84" spans="1:22" s="14" customFormat="1" ht="12.75" x14ac:dyDescent="0.2">
      <c r="A84" s="28" t="s">
        <v>2988</v>
      </c>
      <c r="B84" s="29" t="s">
        <v>3068</v>
      </c>
      <c r="C84" s="29">
        <f>(Fuentes!C43/Fuentes!C36)*100</f>
        <v>0.240003163117785</v>
      </c>
      <c r="D84" s="30">
        <f>(Fuentes!D43/Fuentes!D36)*100</f>
        <v>0</v>
      </c>
      <c r="E84" s="35">
        <f>(Fuentes!E43/Fuentes!E36)*100</f>
        <v>0</v>
      </c>
      <c r="F84" s="28">
        <f>(Fuentes!F43/Fuentes!F36)*100</f>
        <v>0</v>
      </c>
      <c r="G84" s="28">
        <f>(Fuentes!G43/Fuentes!G36)*100</f>
        <v>3.6650781401120462</v>
      </c>
      <c r="H84" s="28">
        <f>(Fuentes!H43/Fuentes!H36)*100</f>
        <v>3.1242644758451741</v>
      </c>
      <c r="I84" s="28">
        <f>(Fuentes!I43/Fuentes!I36)*100</f>
        <v>3.2219416636965232</v>
      </c>
      <c r="J84" s="28">
        <f>(Fuentes!J43/Fuentes!J36)*100</f>
        <v>3.0161167008340275</v>
      </c>
      <c r="K84" s="28">
        <f>(Fuentes!K43/Fuentes!K36)*100</f>
        <v>2.7554042238243404</v>
      </c>
      <c r="L84" s="28">
        <f>(Fuentes!L43/Fuentes!L36)*100</f>
        <v>2.5525077836646859</v>
      </c>
      <c r="M84" s="28">
        <f>(Fuentes!M43/Fuentes!M36)*100</f>
        <v>2.1822907807512797</v>
      </c>
      <c r="N84" s="36">
        <f>(Fuentes!N43/Fuentes!N36)*100</f>
        <v>2.1431194122247019</v>
      </c>
      <c r="O84" s="28">
        <f>(Fuentes!O43/Fuentes!O36)*100</f>
        <v>2.049305004923903</v>
      </c>
      <c r="P84" s="28">
        <f>(Fuentes!P43/Fuentes!P36)*100</f>
        <v>1.9488487814002464</v>
      </c>
      <c r="Q84" s="28">
        <f>(Fuentes!Q43/Fuentes!Q36)*100</f>
        <v>1.9226942140060443</v>
      </c>
      <c r="R84" s="28"/>
      <c r="S84" s="28"/>
      <c r="T84" s="28"/>
      <c r="U84" s="28"/>
      <c r="V84" s="28"/>
    </row>
    <row r="85" spans="1:22" s="14" customFormat="1" ht="12.75" x14ac:dyDescent="0.2">
      <c r="A85" s="28" t="s">
        <v>3069</v>
      </c>
      <c r="B85" s="29" t="s">
        <v>3070</v>
      </c>
      <c r="C85" s="29">
        <f>Fuentes!C3/Fuentes!C66</f>
        <v>87.951807228915669</v>
      </c>
      <c r="D85" s="30">
        <f>Fuentes!D3/Fuentes!D66</f>
        <v>74.598540145985396</v>
      </c>
      <c r="E85" s="35">
        <f>Fuentes!E3/Fuentes!E66</f>
        <v>73.950795947901597</v>
      </c>
      <c r="F85" s="28">
        <f>Fuentes!F3/Fuentes!F66</f>
        <v>72.073342736248236</v>
      </c>
      <c r="G85" s="28">
        <f>Fuentes!G3/Fuentes!G66</f>
        <v>66.106080206985766</v>
      </c>
      <c r="H85" s="36">
        <f>Fuentes!H3/Fuentes!H66</f>
        <v>65.095541401273891</v>
      </c>
      <c r="I85" s="28">
        <f>Fuentes!I3/Fuentes!I66</f>
        <v>63.399503722084368</v>
      </c>
      <c r="J85" s="28">
        <f>Fuentes!J3/Fuentes!J66</f>
        <v>60.616844602609724</v>
      </c>
      <c r="K85" s="28">
        <f>Fuentes!K3/Fuentes!K66</f>
        <v>52.953367875647672</v>
      </c>
      <c r="L85" s="28">
        <f>Fuentes!L3/Fuentes!L66</f>
        <v>46.036036036036037</v>
      </c>
      <c r="M85" s="28">
        <f>Fuentes!M3/Fuentes!M66</f>
        <v>46.036036036036037</v>
      </c>
      <c r="N85" s="28">
        <f>Fuentes!N3/Fuentes!N66</f>
        <v>44.863915715539946</v>
      </c>
      <c r="O85" s="28">
        <f>Fuentes!O3/Fuentes!O66</f>
        <v>43.75</v>
      </c>
      <c r="P85" s="28">
        <f>Fuentes!P3/Fuentes!P66</f>
        <v>42.231404958677686</v>
      </c>
      <c r="Q85" s="28">
        <f>Fuentes!Q3/Fuentes!Q66</f>
        <v>40.015661707126078</v>
      </c>
      <c r="R85" s="28">
        <f>Fuentes!R3/Fuentes!R66</f>
        <v>39.429012345679013</v>
      </c>
      <c r="S85" s="28">
        <f>Fuentes!S3/Fuentes!S66</f>
        <v>39.520494972931168</v>
      </c>
      <c r="T85" s="28">
        <f>Fuentes!T3/Fuentes!T66</f>
        <v>38.219895287958117</v>
      </c>
      <c r="U85" s="28">
        <f>Fuentes!U3/Fuentes!U66</f>
        <v>35.609756097560975</v>
      </c>
      <c r="V85" s="28">
        <f>Fuentes!V3/Fuentes!V66</f>
        <v>36.318407960199004</v>
      </c>
    </row>
    <row r="86" spans="1:22" s="14" customFormat="1" ht="12.75" x14ac:dyDescent="0.2">
      <c r="A86" s="28" t="s">
        <v>3069</v>
      </c>
      <c r="B86" s="29" t="s">
        <v>3071</v>
      </c>
      <c r="C86" s="29">
        <f>Fuentes!C3/(Fuentes!C85+Fuentes!C86)</f>
        <v>210.28806584362141</v>
      </c>
      <c r="D86" s="30">
        <f>Fuentes!D3/(Fuentes!D85+Fuentes!D86)</f>
        <v>202.77777777777777</v>
      </c>
      <c r="E86" s="35">
        <f>Fuentes!E3/(Fuentes!E85+Fuentes!E86)</f>
        <v>193.56060606060606</v>
      </c>
      <c r="F86" s="28">
        <f>Fuentes!F3/(Fuentes!F85+Fuentes!F86)</f>
        <v>184.47653429602889</v>
      </c>
      <c r="G86" s="28">
        <f>Fuentes!G3/(Fuentes!G85+Fuentes!G86)</f>
        <v>170.33333333333334</v>
      </c>
      <c r="H86" s="28">
        <f>Fuentes!H3/(Fuentes!H85+Fuentes!H86)</f>
        <v>153.9156626506024</v>
      </c>
      <c r="I86" s="28">
        <f>Fuentes!I3/(Fuentes!I85+Fuentes!I86)</f>
        <v>147.6878612716763</v>
      </c>
      <c r="J86" s="28">
        <f>Fuentes!J3/(Fuentes!J85+Fuentes!J86)</f>
        <v>146.83908045977012</v>
      </c>
      <c r="K86" s="28">
        <f>Fuentes!K3/(Fuentes!K85+Fuentes!K86)</f>
        <v>131.3624678663239</v>
      </c>
      <c r="L86" s="28">
        <f>Fuentes!L3/(Fuentes!L85+Fuentes!L86)</f>
        <v>105.36082474226804</v>
      </c>
      <c r="M86" s="28">
        <f>Fuentes!M3/(Fuentes!M85+Fuentes!M86)</f>
        <v>102.61044176706827</v>
      </c>
      <c r="N86" s="36">
        <f>Fuentes!N3/(Fuentes!N85+Fuentes!N86)</f>
        <v>101.79282868525897</v>
      </c>
      <c r="O86" s="28">
        <f>Fuentes!O3/(Fuentes!O85+Fuentes!O86)</f>
        <v>99.610136452241719</v>
      </c>
      <c r="P86" s="28">
        <f>Fuentes!P3/(Fuentes!P85+Fuentes!P86)</f>
        <v>95.872420262664164</v>
      </c>
      <c r="Q86" s="28">
        <f>Fuentes!Q3/(Fuentes!Q85+Fuentes!Q86)</f>
        <v>92.572463768115938</v>
      </c>
      <c r="R86" s="28">
        <f>Fuentes!R3/(Fuentes!R85+Fuentes!R86)</f>
        <v>91.087344028520505</v>
      </c>
      <c r="S86" s="28">
        <f>Fuentes!S3/(Fuentes!S85+Fuentes!S86)</f>
        <v>91.087344028520505</v>
      </c>
      <c r="T86" s="28">
        <f>Fuentes!T3/(Fuentes!T85+Fuentes!T86)</f>
        <v>88.103448275862064</v>
      </c>
      <c r="U86" s="28">
        <f>Fuentes!U3/(Fuentes!U85+Fuentes!U86)</f>
        <v>87.650085763293305</v>
      </c>
      <c r="V86" s="28">
        <f>Fuentes!V3/(Fuentes!V85+Fuentes!V86)</f>
        <v>87.800687285223361</v>
      </c>
    </row>
    <row r="87" spans="1:22" s="14" customFormat="1" ht="12.75" x14ac:dyDescent="0.2">
      <c r="A87" s="28" t="s">
        <v>3069</v>
      </c>
      <c r="B87" s="29" t="s">
        <v>3072</v>
      </c>
      <c r="C87" s="29">
        <f>Fuentes!C3/(Fuentes!C90+Fuentes!C91+Fuentes!C92+Fuentes!C93)</f>
        <v>277.71739130434781</v>
      </c>
      <c r="D87" s="30">
        <f>Fuentes!D3/(Fuentes!D90+Fuentes!D91+Fuentes!D92+Fuentes!D93)</f>
        <v>267.5392670157068</v>
      </c>
      <c r="E87" s="35">
        <f>Fuentes!E3/(Fuentes!E90+Fuentes!E91+Fuentes!E92+Fuentes!E93)</f>
        <v>233.33333333333334</v>
      </c>
      <c r="F87" s="28">
        <f>Fuentes!F3/(Fuentes!F90+Fuentes!F91+Fuentes!F92+Fuentes!F93)</f>
        <v>228.125</v>
      </c>
      <c r="G87" s="28">
        <f>Fuentes!G3/(Fuentes!G90+Fuentes!G91+Fuentes!G92+Fuentes!G93)</f>
        <v>219.31330472103005</v>
      </c>
      <c r="H87" s="36">
        <f>Fuentes!H3/(Fuentes!H90+Fuentes!H91+Fuentes!H92+Fuentes!H93)</f>
        <v>214.70588235294119</v>
      </c>
      <c r="I87" s="28">
        <f>Fuentes!I3/(Fuentes!I90+Fuentes!I91+Fuentes!I92+Fuentes!I93)</f>
        <v>200.39215686274511</v>
      </c>
      <c r="J87" s="28">
        <f>Fuentes!J3/(Fuentes!J90+Fuentes!J91+Fuentes!J92+Fuentes!J93)</f>
        <v>185.81818181818181</v>
      </c>
      <c r="K87" s="28">
        <f>Fuentes!K3/(Fuentes!K90+Fuentes!K91+Fuentes!K92+Fuentes!K93)</f>
        <v>163.25878594249201</v>
      </c>
      <c r="L87" s="28">
        <f>Fuentes!L3/(Fuentes!L90+Fuentes!L91+Fuentes!L92+Fuentes!L93)</f>
        <v>137.36559139784947</v>
      </c>
      <c r="M87" s="28">
        <f>Fuentes!M3/(Fuentes!M90+Fuentes!M91+Fuentes!M92+Fuentes!M93)</f>
        <v>135.54376657824935</v>
      </c>
      <c r="N87" s="28">
        <f>Fuentes!N3/(Fuentes!N90+Fuentes!N91+Fuentes!N92+Fuentes!N93)</f>
        <v>133.42036553524804</v>
      </c>
      <c r="O87" s="28">
        <f>Fuentes!O3/(Fuentes!O90+Fuentes!O91+Fuentes!O92+Fuentes!O93)</f>
        <v>123.72881355932203</v>
      </c>
      <c r="P87" s="28">
        <f>Fuentes!P3/(Fuentes!P90+Fuentes!P91+Fuentes!P92+Fuentes!P93)</f>
        <v>113.30376940133037</v>
      </c>
      <c r="Q87" s="28">
        <f>Fuentes!Q3/(Fuentes!Q90+Fuentes!Q91+Fuentes!Q92+Fuentes!Q93)</f>
        <v>108.03382663847781</v>
      </c>
      <c r="R87" s="28">
        <f>Fuentes!R3/(Fuentes!R90+Fuentes!R91+Fuentes!R92+Fuentes!R93)</f>
        <v>104.07331975560082</v>
      </c>
      <c r="S87" s="28">
        <f>Fuentes!S3/(Fuentes!S90+Fuentes!S91+Fuentes!S92+Fuentes!S93)</f>
        <v>104.07331975560082</v>
      </c>
      <c r="T87" s="28">
        <f>Fuentes!T3/(Fuentes!T90+Fuentes!T91+Fuentes!T92+Fuentes!T93)</f>
        <v>90.123456790123456</v>
      </c>
      <c r="U87" s="28">
        <f>Fuentes!U3/(Fuentes!U90+Fuentes!U91+Fuentes!U92+Fuentes!U93)</f>
        <v>88.869565217391298</v>
      </c>
      <c r="V87" s="28">
        <f>Fuentes!V3/(Fuentes!V90+Fuentes!V91+Fuentes!V92+Fuentes!V93)</f>
        <v>89.335664335664333</v>
      </c>
    </row>
    <row r="88" spans="1:22" s="14" customFormat="1" ht="12.75" x14ac:dyDescent="0.2">
      <c r="A88" s="28" t="s">
        <v>3069</v>
      </c>
      <c r="B88" s="29" t="s">
        <v>3073</v>
      </c>
      <c r="C88" s="29">
        <f>Fuentes!C3/(Fuentes!C97+Fuentes!C98)</f>
        <v>69.618528610354218</v>
      </c>
      <c r="D88" s="30">
        <f>Fuentes!D3/(Fuentes!D97+Fuentes!D98)</f>
        <v>67.503302509907527</v>
      </c>
      <c r="E88" s="35">
        <f>Fuentes!E3/(Fuentes!E97+Fuentes!E98)</f>
        <v>67.060367454068242</v>
      </c>
      <c r="F88" s="28">
        <f>Fuentes!F3/(Fuentes!F97+Fuentes!F98)</f>
        <v>64.276729559748432</v>
      </c>
      <c r="G88" s="28">
        <f>Fuentes!G3/(Fuentes!G97+Fuentes!G98)</f>
        <v>63.086419753086417</v>
      </c>
      <c r="H88" s="28">
        <f>Fuentes!H3/(Fuentes!H97+Fuentes!H98)</f>
        <v>61.051373954599761</v>
      </c>
      <c r="I88" s="28">
        <f>Fuentes!I3/(Fuentes!I97+Fuentes!I98)</f>
        <v>57.805429864253391</v>
      </c>
      <c r="J88" s="28">
        <f>Fuentes!J3/(Fuentes!J97+Fuentes!J98)</f>
        <v>53.451882845188287</v>
      </c>
      <c r="K88" s="28">
        <f>Fuentes!K3/(Fuentes!K97+Fuentes!K98)</f>
        <v>34.043970686209192</v>
      </c>
      <c r="L88" s="28">
        <f>Fuentes!L3/(Fuentes!L97+Fuentes!L98)</f>
        <v>33.729372937293732</v>
      </c>
      <c r="M88" s="28">
        <f>Fuentes!M3/(Fuentes!M97+Fuentes!M98)</f>
        <v>30.838865419432711</v>
      </c>
      <c r="N88" s="36">
        <f>Fuentes!N3/(Fuentes!N97+Fuentes!N98)</f>
        <v>33.053040103492883</v>
      </c>
      <c r="O88" s="28">
        <f>Fuentes!O3/(Fuentes!O97+Fuentes!O98)</f>
        <v>33.010335917312659</v>
      </c>
      <c r="P88" s="28">
        <f>Fuentes!P3/(Fuentes!P97+Fuentes!P98)</f>
        <v>34.809264305177109</v>
      </c>
      <c r="Q88" s="28">
        <f>Fuentes!Q3/(Fuentes!Q97+Fuentes!Q98)</f>
        <v>34.387617765814269</v>
      </c>
      <c r="R88" s="28">
        <f>Fuentes!R3/(Fuentes!R97+Fuentes!R98)</f>
        <v>33.138780804150457</v>
      </c>
      <c r="S88" s="28">
        <f>Fuentes!S3/(Fuentes!S97+Fuentes!S98)</f>
        <v>33.138780804150457</v>
      </c>
      <c r="T88" s="28">
        <f>Fuentes!T3/(Fuentes!T97+Fuentes!T98)</f>
        <v>32.30088495575221</v>
      </c>
      <c r="U88" s="28">
        <f>Fuentes!U3/(Fuentes!U97+Fuentes!U98)</f>
        <v>31.601731601731601</v>
      </c>
      <c r="V88" s="28">
        <f>Fuentes!V3/(Fuentes!V97+Fuentes!V98)</f>
        <v>31.621287128712872</v>
      </c>
    </row>
    <row r="89" spans="1:22" s="14" customFormat="1" ht="12.75" x14ac:dyDescent="0.2">
      <c r="A89" s="28" t="s">
        <v>3069</v>
      </c>
      <c r="B89" s="29" t="s">
        <v>3074</v>
      </c>
      <c r="C89" s="29"/>
      <c r="D89" s="30"/>
      <c r="E89" s="35"/>
      <c r="F89" s="28"/>
      <c r="G89" s="28"/>
      <c r="H89" s="36"/>
      <c r="I89" s="28"/>
      <c r="J89" s="28"/>
      <c r="K89" s="28"/>
      <c r="L89" s="28"/>
      <c r="M89" s="28"/>
      <c r="N89" s="28"/>
      <c r="O89" s="28"/>
      <c r="P89" s="28">
        <f>Fuentes!P3/(Fuentes!P102+Fuentes!P103)</f>
        <v>2044</v>
      </c>
      <c r="Q89" s="28">
        <f>Fuentes!Q3/(Fuentes!Q102+Fuentes!Q103)</f>
        <v>2129.1666666666665</v>
      </c>
      <c r="R89" s="28">
        <f>Fuentes!R3/(Fuentes!R102+Fuentes!R103)</f>
        <v>1344.7368421052631</v>
      </c>
      <c r="S89" s="28">
        <f>Fuentes!S3/(Fuentes!S102+Fuentes!S103)</f>
        <v>1277.5</v>
      </c>
      <c r="T89" s="28">
        <f>Fuentes!T3/(Fuentes!T102+Fuentes!T103)</f>
        <v>1344.7368421052631</v>
      </c>
      <c r="U89" s="28">
        <f>Fuentes!U3/(Fuentes!U102+Fuentes!U103)</f>
        <v>1419.4444444444443</v>
      </c>
      <c r="V89" s="28">
        <f>Fuentes!V3/(Fuentes!V102+Fuentes!V103)</f>
        <v>1419.4444444444443</v>
      </c>
    </row>
    <row r="90" spans="1:22" s="14" customFormat="1" ht="12.75" x14ac:dyDescent="0.2">
      <c r="A90" s="28" t="s">
        <v>3069</v>
      </c>
      <c r="B90" s="29" t="s">
        <v>3075</v>
      </c>
      <c r="C90" s="29">
        <f>Fuentes!C3/Fuentes!C161</f>
        <v>2044</v>
      </c>
      <c r="D90" s="30">
        <f>Fuentes!D3/Fuentes!D161</f>
        <v>2221.7391304347825</v>
      </c>
      <c r="E90" s="35">
        <f>Fuentes!E3/Fuentes!E161</f>
        <v>2221.7391304347825</v>
      </c>
      <c r="F90" s="28">
        <f>Fuentes!F3/Fuentes!F161</f>
        <v>2322.7272727272725</v>
      </c>
      <c r="G90" s="28">
        <f>Fuentes!G3/Fuentes!G161</f>
        <v>2322.7272727272725</v>
      </c>
      <c r="H90" s="28">
        <f>Fuentes!H3/Fuentes!H161</f>
        <v>2322.7272727272725</v>
      </c>
      <c r="I90" s="28">
        <f>Fuentes!I3/Fuentes!I161</f>
        <v>2322.7272727272725</v>
      </c>
      <c r="J90" s="28">
        <f>Fuentes!J3/Fuentes!J161</f>
        <v>2221.7391304347825</v>
      </c>
      <c r="K90" s="28">
        <f>Fuentes!K3/Fuentes!K161</f>
        <v>2044</v>
      </c>
      <c r="L90" s="28">
        <f>Fuentes!L3/Fuentes!L161</f>
        <v>2129.1666666666665</v>
      </c>
      <c r="M90" s="28">
        <f>Fuentes!M3/Fuentes!M161</f>
        <v>1762.0689655172414</v>
      </c>
      <c r="N90" s="36">
        <f>Fuentes!N3/Fuentes!N161</f>
        <v>1762.0689655172414</v>
      </c>
      <c r="O90" s="28">
        <f>Fuentes!O3/Fuentes!O161</f>
        <v>1548.4848484848485</v>
      </c>
      <c r="P90" s="28">
        <f>Fuentes!P3/Fuentes!P161</f>
        <v>1310.2564102564102</v>
      </c>
      <c r="Q90" s="28">
        <f>Fuentes!Q3/Fuentes!Q161</f>
        <v>1310.2564102564102</v>
      </c>
      <c r="R90" s="28">
        <f>Fuentes!R3/Fuentes!R161</f>
        <v>1310.2564102564102</v>
      </c>
      <c r="S90" s="28">
        <f>Fuentes!S3/Fuentes!S161</f>
        <v>1310.2564102564102</v>
      </c>
      <c r="T90" s="28">
        <f>Fuentes!T3/Fuentes!T161</f>
        <v>1310.2564102564102</v>
      </c>
      <c r="U90" s="28">
        <f>Fuentes!U3/Fuentes!U161</f>
        <v>1310.2564102564102</v>
      </c>
      <c r="V90" s="28">
        <f>Fuentes!V3/Fuentes!V161</f>
        <v>1310.2564102564102</v>
      </c>
    </row>
    <row r="91" spans="1:22" s="14" customFormat="1" ht="12.75" x14ac:dyDescent="0.2">
      <c r="A91" s="28" t="s">
        <v>3069</v>
      </c>
      <c r="B91" s="29" t="s">
        <v>3076</v>
      </c>
      <c r="C91" s="29">
        <f>Fuentes!C3/Fuentes!C162</f>
        <v>1064.5833333333333</v>
      </c>
      <c r="D91" s="30">
        <f>Fuentes!D3/Fuentes!D162</f>
        <v>1064.5833333333333</v>
      </c>
      <c r="E91" s="35">
        <f>Fuentes!E3/Fuentes!E162</f>
        <v>1064.5833333333333</v>
      </c>
      <c r="F91" s="28">
        <f>Fuentes!F3/Fuentes!F162</f>
        <v>1064.5833333333333</v>
      </c>
      <c r="G91" s="28">
        <f>Fuentes!G3/Fuentes!G162</f>
        <v>1064.5833333333333</v>
      </c>
      <c r="H91" s="36">
        <f>Fuentes!H3/Fuentes!H162</f>
        <v>1042.8571428571429</v>
      </c>
      <c r="I91" s="28">
        <f>Fuentes!I3/Fuentes!I162</f>
        <v>1042.8571428571429</v>
      </c>
      <c r="J91" s="28">
        <f>Fuentes!J3/Fuentes!J162</f>
        <v>1042.8571428571429</v>
      </c>
      <c r="K91" s="28">
        <f>Fuentes!K3/Fuentes!K162</f>
        <v>1022</v>
      </c>
      <c r="L91" s="28">
        <f>Fuentes!L3/Fuentes!L162</f>
        <v>1001.9607843137255</v>
      </c>
      <c r="M91" s="28">
        <f>Fuentes!M3/Fuentes!M162</f>
        <v>896.49122807017545</v>
      </c>
      <c r="N91" s="28">
        <f>Fuentes!N3/Fuentes!N162</f>
        <v>896.49122807017545</v>
      </c>
      <c r="O91" s="28">
        <f>Fuentes!O3/Fuentes!O162</f>
        <v>798.4375</v>
      </c>
      <c r="P91" s="28">
        <f>Fuentes!P3/Fuentes!P162</f>
        <v>786.15384615384619</v>
      </c>
      <c r="Q91" s="28">
        <f>Fuentes!Q3/Fuentes!Q162</f>
        <v>786.15384615384619</v>
      </c>
      <c r="R91" s="28">
        <f>Fuentes!R3/Fuentes!R162</f>
        <v>786.15384615384619</v>
      </c>
      <c r="S91" s="28">
        <f>Fuentes!S3/Fuentes!S162</f>
        <v>762.68656716417911</v>
      </c>
      <c r="T91" s="28">
        <f>Fuentes!T3/Fuentes!T162</f>
        <v>655.12820512820508</v>
      </c>
      <c r="U91" s="28">
        <f>Fuentes!U3/Fuentes!U162</f>
        <v>646.83544303797464</v>
      </c>
      <c r="V91" s="28">
        <f>Fuentes!V3/Fuentes!V162</f>
        <v>638.75</v>
      </c>
    </row>
    <row r="92" spans="1:22" s="14" customFormat="1" ht="12.75" x14ac:dyDescent="0.2">
      <c r="A92" s="28" t="s">
        <v>3069</v>
      </c>
      <c r="B92" s="29" t="s">
        <v>3077</v>
      </c>
      <c r="C92" s="29">
        <f>Fuentes!C3/Fuentes!C163</f>
        <v>1310.2564102564102</v>
      </c>
      <c r="D92" s="30">
        <f>Fuentes!D3/Fuentes!D163</f>
        <v>1310.2564102564102</v>
      </c>
      <c r="E92" s="35">
        <f>Fuentes!E3/Fuentes!E163</f>
        <v>1310.2564102564102</v>
      </c>
      <c r="F92" s="28">
        <f>Fuentes!F3/Fuentes!F163</f>
        <v>1310.2564102564102</v>
      </c>
      <c r="G92" s="28">
        <f>Fuentes!G3/Fuentes!G163</f>
        <v>1310.2564102564102</v>
      </c>
      <c r="H92" s="28">
        <f>Fuentes!H3/Fuentes!H163</f>
        <v>1310.2564102564102</v>
      </c>
      <c r="I92" s="28">
        <f>Fuentes!I3/Fuentes!I163</f>
        <v>1310.2564102564102</v>
      </c>
      <c r="J92" s="28">
        <f>Fuentes!J3/Fuentes!J163</f>
        <v>1310.2564102564102</v>
      </c>
      <c r="K92" s="28">
        <f>Fuentes!K3/Fuentes!K163</f>
        <v>1310.2564102564102</v>
      </c>
      <c r="L92" s="28">
        <f>Fuentes!L3/Fuentes!L163</f>
        <v>1310.2564102564102</v>
      </c>
      <c r="M92" s="28">
        <f>Fuentes!M3/Fuentes!M163</f>
        <v>1310.2564102564102</v>
      </c>
      <c r="N92" s="36">
        <f>Fuentes!N3/Fuentes!N163</f>
        <v>1310.2564102564102</v>
      </c>
      <c r="O92" s="28">
        <f>Fuentes!O3/Fuentes!O163</f>
        <v>1216.6666666666667</v>
      </c>
      <c r="P92" s="28">
        <f>Fuentes!P3/Fuentes!P163</f>
        <v>1216.6666666666667</v>
      </c>
      <c r="Q92" s="28">
        <f>Fuentes!Q3/Fuentes!Q163</f>
        <v>1188.3720930232557</v>
      </c>
      <c r="R92" s="28">
        <f>Fuentes!R3/Fuentes!R163</f>
        <v>1161.3636363636363</v>
      </c>
      <c r="S92" s="28">
        <f>Fuentes!S3/Fuentes!S163</f>
        <v>1161.3636363636363</v>
      </c>
      <c r="T92" s="28">
        <f>Fuentes!T3/Fuentes!T163</f>
        <v>1135.5555555555557</v>
      </c>
      <c r="U92" s="28">
        <f>Fuentes!U3/Fuentes!U163</f>
        <v>1135.5555555555557</v>
      </c>
      <c r="V92" s="28">
        <f>Fuentes!V3/Fuentes!V163</f>
        <v>1135.5555555555557</v>
      </c>
    </row>
    <row r="93" spans="1:22" s="14" customFormat="1" ht="12.75" x14ac:dyDescent="0.2">
      <c r="A93" s="28" t="s">
        <v>3069</v>
      </c>
      <c r="B93" s="29" t="s">
        <v>3078</v>
      </c>
      <c r="C93" s="29">
        <f>Fuentes!C3/Fuentes!C164</f>
        <v>2322.7272727272725</v>
      </c>
      <c r="D93" s="30">
        <f>Fuentes!D3/Fuentes!D164</f>
        <v>2322.7272727272725</v>
      </c>
      <c r="E93" s="35">
        <f>Fuentes!E3/Fuentes!E164</f>
        <v>2322.7272727272725</v>
      </c>
      <c r="F93" s="28">
        <f>Fuentes!F3/Fuentes!F164</f>
        <v>2322.7272727272725</v>
      </c>
      <c r="G93" s="28">
        <f>Fuentes!G3/Fuentes!G164</f>
        <v>2322.7272727272725</v>
      </c>
      <c r="H93" s="36">
        <f>Fuentes!H3/Fuentes!H164</f>
        <v>1825</v>
      </c>
      <c r="I93" s="28">
        <f>Fuentes!I3/Fuentes!I164</f>
        <v>1825</v>
      </c>
      <c r="J93" s="28">
        <f>Fuentes!J3/Fuentes!J164</f>
        <v>1703.3333333333333</v>
      </c>
      <c r="K93" s="28">
        <f>Fuentes!K3/Fuentes!K164</f>
        <v>1648.3870967741937</v>
      </c>
      <c r="L93" s="28">
        <f>Fuentes!L3/Fuentes!L164</f>
        <v>1548.4848484848485</v>
      </c>
      <c r="M93" s="28">
        <f>Fuentes!M3/Fuentes!M164</f>
        <v>1460</v>
      </c>
      <c r="N93" s="28">
        <f>Fuentes!N3/Fuentes!N164</f>
        <v>1460</v>
      </c>
      <c r="O93" s="28">
        <f>Fuentes!O3/Fuentes!O164</f>
        <v>1460</v>
      </c>
      <c r="P93" s="28">
        <f>Fuentes!P3/Fuentes!P164</f>
        <v>1460</v>
      </c>
      <c r="Q93" s="28">
        <f>Fuentes!Q3/Fuentes!Q164</f>
        <v>1460</v>
      </c>
      <c r="R93" s="28">
        <f>Fuentes!R3/Fuentes!R164</f>
        <v>1460</v>
      </c>
      <c r="S93" s="28">
        <f>Fuentes!S3/Fuentes!S164</f>
        <v>1381.081081081081</v>
      </c>
      <c r="T93" s="28">
        <f>Fuentes!T3/Fuentes!T164</f>
        <v>1460</v>
      </c>
      <c r="U93" s="28">
        <f>Fuentes!U3/Fuentes!U164</f>
        <v>1502.9411764705883</v>
      </c>
      <c r="V93" s="28">
        <f>Fuentes!V3/Fuentes!V164</f>
        <v>1502.9411764705883</v>
      </c>
    </row>
    <row r="94" spans="1:22" s="14" customFormat="1" ht="12.75" x14ac:dyDescent="0.2">
      <c r="A94" s="28" t="s">
        <v>3069</v>
      </c>
      <c r="B94" s="29" t="s">
        <v>3079</v>
      </c>
      <c r="C94" s="29"/>
      <c r="D94" s="30"/>
      <c r="E94" s="35"/>
      <c r="F94" s="28"/>
      <c r="G94" s="28"/>
      <c r="H94" s="28"/>
      <c r="I94" s="28"/>
      <c r="J94" s="28"/>
      <c r="K94" s="28"/>
      <c r="L94" s="28"/>
      <c r="M94" s="28"/>
      <c r="N94" s="36">
        <f>Fuentes!N3/Fuentes!N165</f>
        <v>3406.6666666666665</v>
      </c>
      <c r="O94" s="28">
        <f>Fuentes!O3/Fuentes!O165</f>
        <v>3005.8823529411766</v>
      </c>
      <c r="P94" s="28">
        <f>Fuentes!P3/Fuentes!P165</f>
        <v>3005.8823529411766</v>
      </c>
      <c r="Q94" s="28">
        <f>Fuentes!Q3/Fuentes!Q165</f>
        <v>3005.8823529411766</v>
      </c>
      <c r="R94" s="28">
        <f>Fuentes!R3/Fuentes!R165</f>
        <v>2838.8888888888887</v>
      </c>
      <c r="S94" s="28">
        <f>Fuentes!S3/Fuentes!S165</f>
        <v>2838.8888888888887</v>
      </c>
      <c r="T94" s="28">
        <f>Fuentes!T3/Fuentes!T165</f>
        <v>2555</v>
      </c>
      <c r="U94" s="28">
        <f>Fuentes!U3/Fuentes!U165</f>
        <v>2555</v>
      </c>
      <c r="V94" s="28">
        <f>Fuentes!V3/Fuentes!V165</f>
        <v>2555</v>
      </c>
    </row>
    <row r="95" spans="1:22" s="14" customFormat="1" ht="12.75" x14ac:dyDescent="0.2">
      <c r="A95" s="28" t="s">
        <v>3069</v>
      </c>
      <c r="B95" s="29" t="s">
        <v>3080</v>
      </c>
      <c r="C95" s="29">
        <f>Fuentes!C47/(Fuentes!C66)</f>
        <v>6664.9724612736663</v>
      </c>
      <c r="D95" s="30">
        <f>Fuentes!D47/(Fuentes!D66)</f>
        <v>5771.3766423357665</v>
      </c>
      <c r="E95" s="35">
        <f>Fuentes!E47/(Fuentes!E66)</f>
        <v>5821.1736613603471</v>
      </c>
      <c r="F95" s="28">
        <f>Fuentes!F47/(Fuentes!F66)</f>
        <v>5763.6177715091681</v>
      </c>
      <c r="G95" s="28">
        <f>Fuentes!G47/(Fuentes!G66)</f>
        <v>5371.051746442432</v>
      </c>
      <c r="H95" s="36">
        <f>Fuentes!H47/(Fuentes!H66)</f>
        <v>5369.7426751592357</v>
      </c>
      <c r="I95" s="28">
        <f>Fuentes!I47/(Fuentes!I66)</f>
        <v>5308.5062034739458</v>
      </c>
      <c r="J95" s="28">
        <f>Fuentes!J47/(Fuentes!J66)</f>
        <v>5148.7425860023723</v>
      </c>
      <c r="K95" s="28">
        <f>Fuentes!K47/(Fuentes!K66)</f>
        <v>4563.8238341968909</v>
      </c>
      <c r="L95" s="28">
        <f>Fuentes!L47/(Fuentes!L66)</f>
        <v>4026.4297297297298</v>
      </c>
      <c r="M95" s="28">
        <f>Fuentes!M47/(Fuentes!M66)</f>
        <v>4084.5891891891893</v>
      </c>
      <c r="N95" s="28">
        <f>Fuentes!N47/(Fuentes!N66)</f>
        <v>4031.7357330992099</v>
      </c>
      <c r="O95" s="28">
        <f>Fuentes!O47/(Fuentes!O66)</f>
        <v>3983.2628424657532</v>
      </c>
      <c r="P95" s="28">
        <f>Fuentes!P47/(Fuentes!P66)</f>
        <v>3895.1768595041322</v>
      </c>
      <c r="Q95" s="28">
        <f>Fuentes!Q47/(Fuentes!Q66)</f>
        <v>3737.7595927956149</v>
      </c>
      <c r="R95" s="28">
        <f>Fuentes!R47/(Fuentes!R66)</f>
        <v>3728.5702160493829</v>
      </c>
      <c r="S95" s="28">
        <f>Fuentes!S47/(Fuentes!S66)</f>
        <v>3782.1902552204178</v>
      </c>
      <c r="T95" s="28">
        <f>Fuentes!T47/(Fuentes!T66)</f>
        <v>3700.4345549738218</v>
      </c>
      <c r="U95" s="28">
        <f>Fuentes!U47/(Fuentes!U66)</f>
        <v>3486.6850174216029</v>
      </c>
      <c r="V95" s="28">
        <f>Fuentes!V47/(Fuentes!V66)</f>
        <v>3594.8820184790334</v>
      </c>
    </row>
    <row r="96" spans="1:22" s="14" customFormat="1" ht="12.75" x14ac:dyDescent="0.2">
      <c r="A96" s="28" t="s">
        <v>3069</v>
      </c>
      <c r="B96" s="29" t="s">
        <v>3081</v>
      </c>
      <c r="C96" s="29">
        <f>C690/Fuentes!C67</f>
        <v>1612.5347368421053</v>
      </c>
      <c r="D96" s="30">
        <f>D690/Fuentes!D67</f>
        <v>1556.7889273356402</v>
      </c>
      <c r="E96" s="35">
        <f>E690/Fuentes!E67</f>
        <v>1667.2931034482758</v>
      </c>
      <c r="F96" s="28">
        <f>F690/Fuentes!F67</f>
        <v>1501.1174496644296</v>
      </c>
      <c r="G96" s="28">
        <f>G690/Fuentes!G67</f>
        <v>1387.5785498489427</v>
      </c>
      <c r="H96" s="28">
        <f>H690/Fuentes!H67</f>
        <v>775.29866270430909</v>
      </c>
      <c r="I96" s="28">
        <f>I690/Fuentes!I67</f>
        <v>737.54439592430856</v>
      </c>
      <c r="J96" s="28">
        <f>J690/Fuentes!J67</f>
        <v>770.61527777777781</v>
      </c>
      <c r="K96" s="28">
        <f>K690/Fuentes!K67</f>
        <v>717.93902439024396</v>
      </c>
      <c r="L96" s="28">
        <f>L690/Fuentes!L67</f>
        <v>693.61290322580646</v>
      </c>
      <c r="M96" s="28">
        <f>M690/Fuentes!M67</f>
        <v>682.79396462018735</v>
      </c>
      <c r="N96" s="36">
        <f>N690/Fuentes!N67</f>
        <v>673.19858870967744</v>
      </c>
      <c r="O96" s="28">
        <f>O690/Fuentes!O67</f>
        <v>599.82061446977207</v>
      </c>
      <c r="P96" s="28">
        <f>P690/Fuentes!P67</f>
        <v>582.26787416587229</v>
      </c>
      <c r="Q96" s="28">
        <f>Q690/Fuentes!Q67</f>
        <v>561.2151215121512</v>
      </c>
      <c r="R96" s="28">
        <f>R690/Fuentes!R67</f>
        <v>534.44355555555558</v>
      </c>
      <c r="S96" s="28">
        <f>S690/Fuentes!S67</f>
        <v>563.90998217468803</v>
      </c>
      <c r="T96" s="28">
        <f>T690/Fuentes!T67</f>
        <v>563.5148179508891</v>
      </c>
      <c r="U96" s="28">
        <f>U690/Fuentes!U67</f>
        <v>557.87656249999998</v>
      </c>
      <c r="V96" s="28">
        <f>V690/Fuentes!V67</f>
        <v>559.72209211553479</v>
      </c>
    </row>
    <row r="97" spans="1:22" s="14" customFormat="1" ht="12.75" x14ac:dyDescent="0.2">
      <c r="A97" s="28" t="s">
        <v>3082</v>
      </c>
      <c r="B97" s="29" t="s">
        <v>82</v>
      </c>
      <c r="C97" s="29">
        <f>Fuentes!C79</f>
        <v>2359.75</v>
      </c>
      <c r="D97" s="30">
        <f>Fuentes!D79</f>
        <v>2528.5120000000002</v>
      </c>
      <c r="E97" s="35">
        <f>Fuentes!E79</f>
        <v>2595.1419999999998</v>
      </c>
      <c r="F97" s="28">
        <f>Fuentes!F79</f>
        <v>2640.0129999999999</v>
      </c>
      <c r="G97" s="28">
        <f>Fuentes!G79</f>
        <v>2782.596</v>
      </c>
      <c r="H97" s="36">
        <f>Fuentes!H79</f>
        <v>2891.3449999999998</v>
      </c>
      <c r="I97" s="28">
        <f>Fuentes!I79</f>
        <v>2989.893</v>
      </c>
      <c r="J97" s="28">
        <f>Fuentes!J79</f>
        <v>3090.1370000000002</v>
      </c>
      <c r="K97" s="28">
        <f>Fuentes!K79</f>
        <v>3161.9</v>
      </c>
      <c r="L97" s="28">
        <f>Fuentes!L79</f>
        <v>3348.88</v>
      </c>
      <c r="M97" s="28">
        <f>Fuentes!M79</f>
        <v>3583.4740000000002</v>
      </c>
      <c r="N97" s="28">
        <f>Fuentes!N79</f>
        <v>3847.596</v>
      </c>
      <c r="O97" s="28">
        <f>Fuentes!O79</f>
        <v>3911.3049999999998</v>
      </c>
      <c r="P97" s="28">
        <f>Fuentes!P79</f>
        <v>4076</v>
      </c>
      <c r="Q97" s="28">
        <f>Fuentes!Q79</f>
        <v>4312</v>
      </c>
      <c r="R97" s="28">
        <f>Fuentes!R79</f>
        <v>4315</v>
      </c>
      <c r="S97" s="28">
        <f>Fuentes!S79</f>
        <v>4347</v>
      </c>
      <c r="T97" s="28">
        <f>Fuentes!T79</f>
        <v>4401</v>
      </c>
      <c r="U97" s="28">
        <f>Fuentes!U79</f>
        <v>4625</v>
      </c>
      <c r="V97" s="28">
        <f>Fuentes!V79</f>
        <v>4589</v>
      </c>
    </row>
    <row r="98" spans="1:22" s="14" customFormat="1" ht="12.75" x14ac:dyDescent="0.2">
      <c r="A98" s="28" t="s">
        <v>3082</v>
      </c>
      <c r="B98" s="29" t="s">
        <v>87</v>
      </c>
      <c r="C98" s="29">
        <f>Fuentes!C84</f>
        <v>600.5</v>
      </c>
      <c r="D98" s="30">
        <f>Fuentes!D84</f>
        <v>624.31999999999994</v>
      </c>
      <c r="E98" s="35">
        <f>Fuentes!E84</f>
        <v>650.62</v>
      </c>
      <c r="F98" s="28">
        <f>Fuentes!F84</f>
        <v>674.93000000000006</v>
      </c>
      <c r="G98" s="28">
        <f>Fuentes!G84</f>
        <v>743.56</v>
      </c>
      <c r="H98" s="28">
        <f>Fuentes!H84</f>
        <v>782.45</v>
      </c>
      <c r="I98" s="28">
        <f>Fuentes!I84</f>
        <v>790.73</v>
      </c>
      <c r="J98" s="28">
        <f>Fuentes!J84</f>
        <v>801.56999999999994</v>
      </c>
      <c r="K98" s="28">
        <f>Fuentes!K84</f>
        <v>948</v>
      </c>
      <c r="L98" s="28">
        <f>Fuentes!L84</f>
        <v>1051.8000000000002</v>
      </c>
      <c r="M98" s="28">
        <f>Fuentes!M84</f>
        <v>1067.1399999999999</v>
      </c>
      <c r="N98" s="36">
        <f>Fuentes!N84</f>
        <v>1075.56</v>
      </c>
      <c r="O98" s="28">
        <f>Fuentes!O84</f>
        <v>1146</v>
      </c>
      <c r="P98" s="28">
        <f>Fuentes!P84</f>
        <v>1169</v>
      </c>
      <c r="Q98" s="28">
        <f>Fuentes!Q84</f>
        <v>1208</v>
      </c>
      <c r="R98" s="28">
        <f>Fuentes!R84</f>
        <v>1233</v>
      </c>
      <c r="S98" s="28">
        <f>Fuentes!S84</f>
        <v>1231</v>
      </c>
      <c r="T98" s="28">
        <f>Fuentes!T84</f>
        <v>1300</v>
      </c>
      <c r="U98" s="28">
        <f>Fuentes!U84</f>
        <v>1307</v>
      </c>
      <c r="V98" s="28">
        <f>Fuentes!V84</f>
        <v>1303</v>
      </c>
    </row>
    <row r="99" spans="1:22" s="14" customFormat="1" ht="12.75" x14ac:dyDescent="0.2">
      <c r="A99" s="28" t="s">
        <v>3082</v>
      </c>
      <c r="B99" s="29" t="s">
        <v>3083</v>
      </c>
      <c r="C99" s="29">
        <f>Fuentes!C89</f>
        <v>294</v>
      </c>
      <c r="D99" s="30">
        <f>Fuentes!D89</f>
        <v>305.56</v>
      </c>
      <c r="E99" s="35">
        <f>Fuentes!E89</f>
        <v>337.96000000000004</v>
      </c>
      <c r="F99" s="28">
        <f>Fuentes!F89</f>
        <v>346.44</v>
      </c>
      <c r="G99" s="28">
        <f>Fuentes!G89</f>
        <v>369.48</v>
      </c>
      <c r="H99" s="36">
        <f>Fuentes!H89</f>
        <v>376.6</v>
      </c>
      <c r="I99" s="28">
        <f>Fuentes!I89</f>
        <v>391.84000000000003</v>
      </c>
      <c r="J99" s="28">
        <f>Fuentes!J89</f>
        <v>414.56</v>
      </c>
      <c r="K99" s="28">
        <f>Fuentes!K89</f>
        <v>485</v>
      </c>
      <c r="L99" s="28">
        <f>Fuentes!L89</f>
        <v>546.4</v>
      </c>
      <c r="M99" s="28">
        <f>Fuentes!M89</f>
        <v>552.12</v>
      </c>
      <c r="N99" s="28">
        <f>Fuentes!N89</f>
        <v>559.48</v>
      </c>
      <c r="O99" s="28">
        <f>Fuentes!O89</f>
        <v>615</v>
      </c>
      <c r="P99" s="28">
        <f>Fuentes!P89</f>
        <v>656</v>
      </c>
      <c r="Q99" s="28">
        <f>Fuentes!Q89</f>
        <v>688</v>
      </c>
      <c r="R99" s="28">
        <f>Fuentes!R89</f>
        <v>709</v>
      </c>
      <c r="S99" s="28">
        <f>Fuentes!S89</f>
        <v>709</v>
      </c>
      <c r="T99" s="28">
        <f>Fuentes!T89</f>
        <v>818</v>
      </c>
      <c r="U99" s="28">
        <f>Fuentes!U89</f>
        <v>826</v>
      </c>
      <c r="V99" s="28">
        <f>Fuentes!V89</f>
        <v>824</v>
      </c>
    </row>
    <row r="100" spans="1:22" s="14" customFormat="1" ht="12.75" x14ac:dyDescent="0.2">
      <c r="A100" s="28" t="s">
        <v>3082</v>
      </c>
      <c r="B100" s="29" t="s">
        <v>3084</v>
      </c>
      <c r="C100" s="29">
        <f>Fuentes!C96</f>
        <v>1476.5</v>
      </c>
      <c r="D100" s="30">
        <f>Fuentes!D96</f>
        <v>1530.2800000000002</v>
      </c>
      <c r="E100" s="35">
        <f>Fuentes!E96</f>
        <v>1564.98</v>
      </c>
      <c r="F100" s="28">
        <f>Fuentes!F96</f>
        <v>1621.47</v>
      </c>
      <c r="G100" s="28">
        <f>Fuentes!G96</f>
        <v>1731.24</v>
      </c>
      <c r="H100" s="28">
        <f>Fuentes!H96</f>
        <v>1772.5500000000002</v>
      </c>
      <c r="I100" s="28">
        <f>Fuentes!I96</f>
        <v>1807.67</v>
      </c>
      <c r="J100" s="28">
        <f>Fuentes!J96</f>
        <v>1898.0300000000002</v>
      </c>
      <c r="K100" s="28">
        <f>Fuentes!K96</f>
        <v>2662</v>
      </c>
      <c r="L100" s="28">
        <f>Fuentes!L96</f>
        <v>2692.2</v>
      </c>
      <c r="M100" s="28">
        <f>Fuentes!M96</f>
        <v>2839.0600000000004</v>
      </c>
      <c r="N100" s="36">
        <f>Fuentes!N96</f>
        <v>2737.24</v>
      </c>
      <c r="O100" s="28">
        <f>Fuentes!O96</f>
        <v>2960</v>
      </c>
      <c r="P100" s="28">
        <f>Fuentes!P96</f>
        <v>2881</v>
      </c>
      <c r="Q100" s="28">
        <f>Fuentes!Q96</f>
        <v>2974</v>
      </c>
      <c r="R100" s="28">
        <f>Fuentes!R96</f>
        <v>3116</v>
      </c>
      <c r="S100" s="28">
        <f>Fuentes!S96</f>
        <v>3117</v>
      </c>
      <c r="T100" s="28">
        <f>Fuentes!T96</f>
        <v>3166</v>
      </c>
      <c r="U100" s="28">
        <f>Fuentes!U96</f>
        <v>3229</v>
      </c>
      <c r="V100" s="28">
        <f>Fuentes!V96</f>
        <v>3251</v>
      </c>
    </row>
    <row r="101" spans="1:22" s="14" customFormat="1" ht="12.75" x14ac:dyDescent="0.2">
      <c r="A101" s="28" t="s">
        <v>3082</v>
      </c>
      <c r="B101" s="29" t="s">
        <v>3085</v>
      </c>
      <c r="C101" s="29">
        <f>(Fuentes!C66/Fuentes!C47)*100000</f>
        <v>15.003812931117521</v>
      </c>
      <c r="D101" s="30">
        <f>(Fuentes!D66/Fuentes!D47)*100000</f>
        <v>17.326888573941421</v>
      </c>
      <c r="E101" s="35">
        <f>(Fuentes!E66/Fuentes!E47)*100000</f>
        <v>17.178666333866261</v>
      </c>
      <c r="F101" s="28">
        <f>(Fuentes!F66/Fuentes!F47)*100000</f>
        <v>17.350213696390835</v>
      </c>
      <c r="G101" s="28">
        <f>(Fuentes!G66/Fuentes!G47)*100000</f>
        <v>18.618327419063867</v>
      </c>
      <c r="H101" s="36">
        <f>(Fuentes!H66/Fuentes!H47)*100000</f>
        <v>18.622866317711321</v>
      </c>
      <c r="I101" s="28">
        <f>(Fuentes!I66/Fuentes!I47)*100000</f>
        <v>18.8376910880426</v>
      </c>
      <c r="J101" s="28">
        <f>(Fuentes!J66/Fuentes!J47)*100000</f>
        <v>19.422217819136065</v>
      </c>
      <c r="K101" s="28">
        <f>(Fuentes!K66/Fuentes!K47)*100000</f>
        <v>21.911450492610278</v>
      </c>
      <c r="L101" s="28">
        <f>(Fuentes!L66/Fuentes!L47)*100000</f>
        <v>24.835898478901907</v>
      </c>
      <c r="M101" s="28">
        <f>(Fuentes!M66/Fuentes!M47)*100000</f>
        <v>24.482266237366819</v>
      </c>
      <c r="N101" s="28">
        <f>(Fuentes!N66/Fuentes!N47)*100000</f>
        <v>24.803212963348077</v>
      </c>
      <c r="O101" s="28">
        <f>(Fuentes!O66/Fuentes!O47)*100000</f>
        <v>25.105046780718379</v>
      </c>
      <c r="P101" s="28">
        <f>(Fuentes!P66/Fuentes!P47)*100000</f>
        <v>25.672775231245936</v>
      </c>
      <c r="Q101" s="28">
        <f>(Fuentes!Q66/Fuentes!Q47)*100000</f>
        <v>26.753994610232848</v>
      </c>
      <c r="R101" s="28">
        <f>(Fuentes!R66/Fuentes!R47)*100000</f>
        <v>26.819932093421937</v>
      </c>
      <c r="S101" s="28">
        <f>(Fuentes!S66/Fuentes!S47)*100000</f>
        <v>26.439706427241116</v>
      </c>
      <c r="T101" s="28">
        <f>(Fuentes!T66/Fuentes!T47)*100000</f>
        <v>27.023853148703349</v>
      </c>
      <c r="U101" s="28">
        <f>(Fuentes!U66/Fuentes!U47)*100000</f>
        <v>28.680537387328958</v>
      </c>
      <c r="V101" s="28">
        <f>(Fuentes!V66/Fuentes!V47)*100000</f>
        <v>27.81732459812665</v>
      </c>
    </row>
    <row r="102" spans="1:22" s="14" customFormat="1" ht="12.75" x14ac:dyDescent="0.2">
      <c r="A102" s="28" t="s">
        <v>3082</v>
      </c>
      <c r="B102" s="29" t="s">
        <v>3086</v>
      </c>
      <c r="C102" s="29">
        <f>((Fuentes!C85+Fuentes!C86)/Fuentes!C47)*100000</f>
        <v>6.2752608300543153</v>
      </c>
      <c r="D102" s="30">
        <f>((Fuentes!D85+Fuentes!D86)/Fuentes!D47)*100000</f>
        <v>6.3742714169828298</v>
      </c>
      <c r="E102" s="35">
        <f>((Fuentes!E85+Fuentes!E86)/Fuentes!E47)*100000</f>
        <v>6.5631952418823341</v>
      </c>
      <c r="F102" s="28">
        <f>((Fuentes!F85+Fuentes!F86)/Fuentes!F47)*100000</f>
        <v>6.7785743214390148</v>
      </c>
      <c r="G102" s="28">
        <f>((Fuentes!G85+Fuentes!G86)/Fuentes!G47)*100000</f>
        <v>7.2257415597919277</v>
      </c>
      <c r="H102" s="28">
        <f>((Fuentes!H85+Fuentes!H86)/Fuentes!H47)*100000</f>
        <v>7.8761676655798194</v>
      </c>
      <c r="I102" s="28">
        <f>((Fuentes!I85+Fuentes!I86)/Fuentes!I47)*100000</f>
        <v>8.0866515092589815</v>
      </c>
      <c r="J102" s="28">
        <f>((Fuentes!J85+Fuentes!J86)/Fuentes!J47)*100000</f>
        <v>8.0177126940205845</v>
      </c>
      <c r="K102" s="28">
        <f>((Fuentes!K85+Fuentes!K86)/Fuentes!K47)*100000</f>
        <v>8.8326986959848686</v>
      </c>
      <c r="L102" s="28">
        <f>((Fuentes!L85+Fuentes!L86)/Fuentes!L47)*100000</f>
        <v>10.85172140744813</v>
      </c>
      <c r="M102" s="28">
        <f>((Fuentes!M85+Fuentes!M86)/Fuentes!M47)*100000</f>
        <v>10.98393566325106</v>
      </c>
      <c r="N102" s="36">
        <f>((Fuentes!N85+Fuentes!N86)/Fuentes!N47)*100000</f>
        <v>10.931705801229795</v>
      </c>
      <c r="O102" s="28">
        <f>((Fuentes!O85+Fuentes!O86)/Fuentes!O47)*100000</f>
        <v>11.02644606036689</v>
      </c>
      <c r="P102" s="28">
        <f>((Fuentes!P85+Fuentes!P86)/Fuentes!P47)*100000</f>
        <v>11.308751403515769</v>
      </c>
      <c r="Q102" s="28">
        <f>((Fuentes!Q85+Fuentes!Q86)/Fuentes!Q47)*100000</f>
        <v>11.56476509385163</v>
      </c>
      <c r="R102" s="28">
        <f>((Fuentes!R85+Fuentes!R86)/Fuentes!R47)*100000</f>
        <v>11.609553938587736</v>
      </c>
      <c r="S102" s="28">
        <f>((Fuentes!S85+Fuentes!S86)/Fuentes!S47)*100000</f>
        <v>11.471519957990926</v>
      </c>
      <c r="T102" s="28">
        <f>((Fuentes!T85+Fuentes!T86)/Fuentes!T47)*100000</f>
        <v>11.723137491584101</v>
      </c>
      <c r="U102" s="28">
        <f>((Fuentes!U85+Fuentes!U86)/Fuentes!U47)*100000</f>
        <v>11.652092889765006</v>
      </c>
      <c r="V102" s="28">
        <f>((Fuentes!V85+Fuentes!V86)/Fuentes!V47)*100000</f>
        <v>11.506526592828507</v>
      </c>
    </row>
    <row r="103" spans="1:22" s="14" customFormat="1" ht="12.75" x14ac:dyDescent="0.2">
      <c r="A103" s="28" t="s">
        <v>3082</v>
      </c>
      <c r="B103" s="29" t="s">
        <v>3087</v>
      </c>
      <c r="C103" s="29">
        <f>((Fuentes!C90+Fuentes!C91+Fuentes!C92+Fuentes!C93)/Fuentes!C47)*100000</f>
        <v>4.7516378301645847</v>
      </c>
      <c r="D103" s="30">
        <f>((Fuentes!D90+Fuentes!D91+Fuentes!D92+Fuentes!D93)/Fuentes!D47)*100000</f>
        <v>4.8312930184274627</v>
      </c>
      <c r="E103" s="35">
        <f>((Fuentes!E90+Fuentes!E91+Fuentes!E92+Fuentes!E93)/Fuentes!E47)*100000</f>
        <v>5.4444687801978455</v>
      </c>
      <c r="F103" s="28">
        <f>((Fuentes!F90+Fuentes!F91+Fuentes!F92+Fuentes!F93)/Fuentes!F47)*100000</f>
        <v>5.4815907870120553</v>
      </c>
      <c r="G103" s="28">
        <f>((Fuentes!G90+Fuentes!G91+Fuentes!G92+Fuentes!G93)/Fuentes!G47)*100000</f>
        <v>5.6119926114383967</v>
      </c>
      <c r="H103" s="36">
        <f>((Fuentes!H90+Fuentes!H91+Fuentes!H92+Fuentes!H93)/Fuentes!H47)*100000</f>
        <v>5.646168386771075</v>
      </c>
      <c r="I103" s="28">
        <f>((Fuentes!I90+Fuentes!I91+Fuentes!I92+Fuentes!I93)/Fuentes!I47)*100000</f>
        <v>5.9598154186735277</v>
      </c>
      <c r="J103" s="28">
        <f>((Fuentes!J90+Fuentes!J91+Fuentes!J92+Fuentes!J93)/Fuentes!J47)*100000</f>
        <v>6.3358361806197143</v>
      </c>
      <c r="K103" s="28">
        <f>((Fuentes!K90+Fuentes!K91+Fuentes!K92+Fuentes!K93)/Fuentes!K47)*100000</f>
        <v>7.1070300561523485</v>
      </c>
      <c r="L103" s="28">
        <f>((Fuentes!L90+Fuentes!L91+Fuentes!L92+Fuentes!L93)/Fuentes!L47)*100000</f>
        <v>8.3233821929292855</v>
      </c>
      <c r="M103" s="28">
        <f>((Fuentes!M90+Fuentes!M91+Fuentes!M92+Fuentes!M93)/Fuentes!M47)*100000</f>
        <v>8.3151480824209827</v>
      </c>
      <c r="N103" s="28">
        <f>((Fuentes!N90+Fuentes!N91+Fuentes!N92+Fuentes!N93)/Fuentes!N47)*100000</f>
        <v>8.3403253423725321</v>
      </c>
      <c r="O103" s="28">
        <f>((Fuentes!O90+Fuentes!O91+Fuentes!O92+Fuentes!O93)/Fuentes!O47)*100000</f>
        <v>8.877041370236892</v>
      </c>
      <c r="P103" s="28">
        <f>((Fuentes!P90+Fuentes!P91+Fuentes!P92+Fuentes!P93)/Fuentes!P47)*100000</f>
        <v>9.5689434952825749</v>
      </c>
      <c r="Q103" s="28">
        <f>((Fuentes!Q90+Fuentes!Q91+Fuentes!Q92+Fuentes!Q93)/Fuentes!Q47)*100000</f>
        <v>9.9096628431011258</v>
      </c>
      <c r="R103" s="28">
        <f>((Fuentes!R90+Fuentes!R91+Fuentes!R92+Fuentes!R93)/Fuentes!R47)*100000</f>
        <v>10.160946495270194</v>
      </c>
      <c r="S103" s="28">
        <f>((Fuentes!S90+Fuentes!S91+Fuentes!S92+Fuentes!S93)/Fuentes!S47)*100000</f>
        <v>10.04013600601345</v>
      </c>
      <c r="T103" s="28">
        <f>((Fuentes!T90+Fuentes!T91+Fuentes!T92+Fuentes!T93)/Fuentes!T47)*100000</f>
        <v>11.460377513324458</v>
      </c>
      <c r="U103" s="28">
        <f>((Fuentes!U90+Fuentes!U91+Fuentes!U92+Fuentes!U93)/Fuentes!U47)*100000</f>
        <v>11.492201392135296</v>
      </c>
      <c r="V103" s="28">
        <f>((Fuentes!V90+Fuentes!V91+Fuentes!V92+Fuentes!V93)/Fuentes!V47)*100000</f>
        <v>11.308819950340045</v>
      </c>
    </row>
    <row r="104" spans="1:22" s="14" customFormat="1" ht="12.75" x14ac:dyDescent="0.2">
      <c r="A104" s="28" t="s">
        <v>3082</v>
      </c>
      <c r="B104" s="29" t="s">
        <v>3088</v>
      </c>
      <c r="C104" s="29">
        <f>((Fuentes!C97+Fuentes!C98)/Fuentes!C47)*100000</f>
        <v>18.954903083373942</v>
      </c>
      <c r="D104" s="30">
        <f>((Fuentes!D97+Fuentes!D98)/Fuentes!D47)*100000</f>
        <v>19.148108978793658</v>
      </c>
      <c r="E104" s="35">
        <f>((Fuentes!E97+Fuentes!E98)/Fuentes!E47)*100000</f>
        <v>18.943768084524013</v>
      </c>
      <c r="F104" s="28">
        <f>((Fuentes!F97+Fuentes!F98)/Fuentes!F47)*100000</f>
        <v>19.454753016404396</v>
      </c>
      <c r="G104" s="28">
        <f>((Fuentes!G97+Fuentes!G98)/Fuentes!G47)*100000</f>
        <v>19.509502211438203</v>
      </c>
      <c r="H104" s="28">
        <f>((Fuentes!H97+Fuentes!H98)/Fuentes!H47)*100000</f>
        <v>19.856482940031047</v>
      </c>
      <c r="I104" s="28">
        <f>((Fuentes!I97+Fuentes!I98)/Fuentes!I47)*100000</f>
        <v>20.660693451401563</v>
      </c>
      <c r="J104" s="28">
        <f>((Fuentes!J97+Fuentes!J98)/Fuentes!J47)*100000</f>
        <v>22.025670504263442</v>
      </c>
      <c r="K104" s="28">
        <f>((Fuentes!K97+Fuentes!K98)/Fuentes!K47)*100000</f>
        <v>34.081955636692257</v>
      </c>
      <c r="L104" s="28">
        <f>((Fuentes!L97+Fuentes!L98)/Fuentes!L47)*100000</f>
        <v>33.897645221203952</v>
      </c>
      <c r="M104" s="28">
        <f>((Fuentes!M97+Fuentes!M98)/Fuentes!M47)*100000</f>
        <v>36.546950590375516</v>
      </c>
      <c r="N104" s="36">
        <f>((Fuentes!N97+Fuentes!N98)/Fuentes!N47)*100000</f>
        <v>33.666169658767458</v>
      </c>
      <c r="O104" s="28">
        <f>((Fuentes!O97+Fuentes!O98)/Fuentes!O47)*100000</f>
        <v>33.272784603212372</v>
      </c>
      <c r="P104" s="28">
        <f>((Fuentes!P97+Fuentes!P98)/Fuentes!P47)*100000</f>
        <v>31.146804991296719</v>
      </c>
      <c r="Q104" s="28">
        <f>((Fuentes!Q97+Fuentes!Q98)/Fuentes!Q47)*100000</f>
        <v>31.132682843231017</v>
      </c>
      <c r="R104" s="28">
        <f>((Fuentes!R97+Fuentes!R98)/Fuentes!R47)*100000</f>
        <v>31.910752537080729</v>
      </c>
      <c r="S104" s="28">
        <f>((Fuentes!S97+Fuentes!S98)/Fuentes!S47)*100000</f>
        <v>31.531343627846713</v>
      </c>
      <c r="T104" s="28">
        <f>((Fuentes!T97+Fuentes!T98)/Fuentes!T47)*100000</f>
        <v>31.975868123596637</v>
      </c>
      <c r="U104" s="28">
        <f>((Fuentes!U97+Fuentes!U98)/Fuentes!U47)*100000</f>
        <v>32.31806895840483</v>
      </c>
      <c r="V104" s="28">
        <f>((Fuentes!V97+Fuentes!V98)/Fuentes!V47)*100000</f>
        <v>31.949393426135515</v>
      </c>
    </row>
    <row r="105" spans="1:22" s="14" customFormat="1" ht="12.75" x14ac:dyDescent="0.2">
      <c r="A105" s="28" t="s">
        <v>3082</v>
      </c>
      <c r="B105" s="29" t="s">
        <v>3089</v>
      </c>
      <c r="C105" s="29"/>
      <c r="D105" s="30"/>
      <c r="E105" s="35"/>
      <c r="F105" s="28"/>
      <c r="G105" s="28"/>
      <c r="H105" s="36"/>
      <c r="I105" s="28"/>
      <c r="J105" s="28"/>
      <c r="K105" s="28"/>
      <c r="L105" s="28"/>
      <c r="M105" s="28"/>
      <c r="N105" s="28"/>
      <c r="O105" s="28"/>
      <c r="P105" s="28">
        <f>((Fuentes!P102+Fuentes!P103)/Fuentes!P47)*100000</f>
        <v>0.53042924031499861</v>
      </c>
      <c r="Q105" s="28">
        <f>((Fuentes!Q102+Fuentes!Q103)/Fuentes!Q47)*100000</f>
        <v>0.50281587364572311</v>
      </c>
      <c r="R105" s="28">
        <f>((Fuentes!R102+Fuentes!R103)/Fuentes!R47)*100000</f>
        <v>0.78638689780095183</v>
      </c>
      <c r="S105" s="28">
        <f>((Fuentes!S102+Fuentes!S103)/Fuentes!S47)*100000</f>
        <v>0.81793368684427281</v>
      </c>
      <c r="T105" s="28">
        <f>((Fuentes!T102+Fuentes!T103)/Fuentes!T47)*100000</f>
        <v>0.76806762875895829</v>
      </c>
      <c r="U105" s="28">
        <f>((Fuentes!U102+Fuentes!U103)/Fuentes!U47)*100000</f>
        <v>0.71951173933368817</v>
      </c>
      <c r="V105" s="28">
        <f>((Fuentes!V102+Fuentes!V103)/Fuentes!V47)*100000</f>
        <v>0.7117439129584644</v>
      </c>
    </row>
    <row r="106" spans="1:22" s="14" customFormat="1" ht="12.75" x14ac:dyDescent="0.2">
      <c r="A106" s="28" t="s">
        <v>3082</v>
      </c>
      <c r="B106" s="29" t="s">
        <v>3090</v>
      </c>
      <c r="C106" s="29">
        <f>(Fuentes!C82+Fuentes!C83)/Fuentes!C47*100000</f>
        <v>45.934651034811175</v>
      </c>
      <c r="D106" s="30">
        <f>(Fuentes!D82+Fuentes!D83)/Fuentes!D47*100000</f>
        <v>46.631134319304962</v>
      </c>
      <c r="E106" s="35">
        <f>(Fuentes!E82+Fuentes!E83)/Fuentes!E47*100000</f>
        <v>47.33808982677391</v>
      </c>
      <c r="F106" s="28">
        <f>(Fuentes!F82+Fuentes!F83)/Fuentes!F47*100000</f>
        <v>47.254567278573703</v>
      </c>
      <c r="G106" s="28">
        <f>(Fuentes!G82+Fuentes!G83)/Fuentes!G47*100000</f>
        <v>48.402737785305398</v>
      </c>
      <c r="H106" s="28">
        <f>(Fuentes!H82+Fuentes!H83)/Fuentes!H47*100000</f>
        <v>49.969657775770244</v>
      </c>
      <c r="I106" s="28">
        <f>(Fuentes!I82+Fuentes!I83)/Fuentes!I47*100000</f>
        <v>51.04156538875759</v>
      </c>
      <c r="J106" s="28">
        <f>(Fuentes!J82+Fuentes!J83)/Fuentes!J47*100000</f>
        <v>51.772697845124519</v>
      </c>
      <c r="K106" s="28">
        <f>(Fuentes!K82+Fuentes!K83)/Fuentes!K47*100000</f>
        <v>49.883176774316603</v>
      </c>
      <c r="L106" s="28">
        <f>(Fuentes!L82+Fuentes!L83)/Fuentes!L47*100000</f>
        <v>50.094230978778285</v>
      </c>
      <c r="M106" s="28">
        <f>(Fuentes!M82+Fuentes!M83)/Fuentes!M47*100000</f>
        <v>54.555179278562754</v>
      </c>
      <c r="N106" s="36">
        <f>(Fuentes!N82+Fuentes!N83)/Fuentes!N47*100000</f>
        <v>58.983216347386097</v>
      </c>
      <c r="O106" s="28">
        <f>(Fuentes!O82+Fuentes!O83)/Fuentes!O47*100000</f>
        <v>58.964726334570742</v>
      </c>
      <c r="P106" s="28">
        <f>(Fuentes!P82+Fuentes!P83)/Fuentes!P47*100000</f>
        <v>60.808408109711444</v>
      </c>
      <c r="Q106" s="28">
        <f>(Fuentes!Q82+Fuentes!Q83)/Fuentes!Q47*100000</f>
        <v>63.585257354782058</v>
      </c>
      <c r="R106" s="28">
        <f>(Fuentes!R82+Fuentes!R83)/Fuentes!R47*100000</f>
        <v>62.476369591080889</v>
      </c>
      <c r="S106" s="28">
        <f>(Fuentes!S82+Fuentes!S83)/Fuentes!S47*100000</f>
        <v>62.44923699056023</v>
      </c>
      <c r="T106" s="28">
        <f>(Fuentes!T82+Fuentes!T83)/Fuentes!T47*100000</f>
        <v>61.930505645196007</v>
      </c>
      <c r="U106" s="28">
        <f>(Fuentes!U82+Fuentes!U83)/Fuentes!U47*100000</f>
        <v>63.756734679846261</v>
      </c>
      <c r="V106" s="28">
        <f>(Fuentes!V82+Fuentes!V83)/Fuentes!V47*100000</f>
        <v>62.91025363982871</v>
      </c>
    </row>
    <row r="107" spans="1:22" s="14" customFormat="1" ht="12.75" x14ac:dyDescent="0.2">
      <c r="A107" s="28" t="s">
        <v>3082</v>
      </c>
      <c r="B107" s="29" t="s">
        <v>3091</v>
      </c>
      <c r="C107" s="29">
        <f>(Fuentes!C160/Fuentes!C47)*100000</f>
        <v>307.30701184216605</v>
      </c>
      <c r="D107" s="30">
        <f>(Fuentes!D160/Fuentes!D47)*100000</f>
        <v>325.87197882932458</v>
      </c>
      <c r="E107" s="35">
        <f>(Fuentes!E160/Fuentes!E47)*100000</f>
        <v>343.67276902947492</v>
      </c>
      <c r="F107" s="28">
        <f>(Fuentes!F160/Fuentes!F47)*100000</f>
        <v>348.22784329991765</v>
      </c>
      <c r="G107" s="28">
        <f>(Fuentes!G160/Fuentes!G47)*100000</f>
        <v>369.76528141975223</v>
      </c>
      <c r="H107" s="36">
        <f>(Fuentes!H160/Fuentes!H47)*100000</f>
        <v>376.06328263485329</v>
      </c>
      <c r="I107" s="28">
        <f>(Fuentes!I160/Fuentes!I47)*100000</f>
        <v>381.82550782301735</v>
      </c>
      <c r="J107" s="28">
        <f>(Fuentes!J160/Fuentes!J47)*100000</f>
        <v>389.66544481025898</v>
      </c>
      <c r="K107" s="28">
        <f>(Fuentes!K160/Fuentes!K47)*100000</f>
        <v>407.12156200259301</v>
      </c>
      <c r="L107" s="28">
        <f>(Fuentes!L160/Fuentes!L47)*100000</f>
        <v>407.86810213684936</v>
      </c>
      <c r="M107" s="28">
        <f>(Fuentes!M160/Fuentes!M47)*100000</f>
        <v>421.77871824969884</v>
      </c>
      <c r="N107" s="28">
        <f>(Fuentes!N160/Fuentes!N47)*100000</f>
        <v>435.83099582831301</v>
      </c>
      <c r="O107" s="28">
        <f>(Fuentes!O160/Fuentes!O47)*100000</f>
        <v>452.4711813192659</v>
      </c>
      <c r="P107" s="28">
        <f>(Fuentes!P160/Fuentes!P47)*100000</f>
        <v>468.83579692962098</v>
      </c>
      <c r="Q107" s="28">
        <f>(Fuentes!Q160/Fuentes!Q47)*100000</f>
        <v>490.51783540280479</v>
      </c>
      <c r="R107" s="28">
        <f>(Fuentes!R160/Fuentes!R47)*100000</f>
        <v>482.48975058497871</v>
      </c>
      <c r="S107" s="28">
        <f>(Fuentes!S160/Fuentes!S47)*100000</f>
        <v>500.75945142823491</v>
      </c>
      <c r="T107" s="28">
        <f>(Fuentes!T160/Fuentes!T47)*100000</f>
        <v>527.70288556944433</v>
      </c>
      <c r="U107" s="28">
        <f>(Fuentes!U160/Fuentes!U47)*100000</f>
        <v>524.12432923018434</v>
      </c>
      <c r="V107" s="28" t="e">
        <f>(Fuentes!V160/Fuentes!V47)*100000</f>
        <v>#VALUE!</v>
      </c>
    </row>
    <row r="108" spans="1:22" s="14" customFormat="1" ht="12.75" x14ac:dyDescent="0.2">
      <c r="A108" s="28" t="s">
        <v>3092</v>
      </c>
      <c r="B108" s="29" t="s">
        <v>3093</v>
      </c>
      <c r="C108" s="29">
        <f>(C115+C137+C138+C150)/(Fuentes!C66)</f>
        <v>1975.261617900172</v>
      </c>
      <c r="D108" s="30">
        <f>(D115+D137+D138+D150)/(Fuentes!D66)</f>
        <v>1884.0729927007299</v>
      </c>
      <c r="E108" s="35">
        <f>(E115+E137+E138+E150)/(Fuentes!E66)</f>
        <v>2010.933429811867</v>
      </c>
      <c r="F108" s="28">
        <f>(F115+F137+F138+F150)/(Fuentes!F66)</f>
        <v>1883.4456981664316</v>
      </c>
      <c r="G108" s="28">
        <f>(G115+G137+G138+G150)/(Fuentes!G66)</f>
        <v>1797.6209573091851</v>
      </c>
      <c r="H108" s="28">
        <f>(H115+H137+H138+H150)/(Fuentes!H66)</f>
        <v>1259.0127388535032</v>
      </c>
      <c r="I108" s="28">
        <f>(I115+I137+I138+I150)/(Fuentes!I66)</f>
        <v>1203.7692307692307</v>
      </c>
      <c r="J108" s="28">
        <f>(J115+J137+J138+J150)/(Fuentes!J66)</f>
        <v>1210.7046263345196</v>
      </c>
      <c r="K108" s="28">
        <f>(K115+K137+K138+K150)/(Fuentes!K66)</f>
        <v>1118.3512953367876</v>
      </c>
      <c r="L108" s="28">
        <f>(L115+L137+L138+L150)/(Fuentes!L66)</f>
        <v>1130.8513513513512</v>
      </c>
      <c r="M108" s="28">
        <f>(M115+M137+M138+M150)/(Fuentes!M66)</f>
        <v>1341.9495495495496</v>
      </c>
      <c r="N108" s="36">
        <f>(N115+N137+N138+N150)/(Fuentes!N66)</f>
        <v>1329.8472344161546</v>
      </c>
      <c r="O108" s="28">
        <f>(O115+O137+O138+O150)/(Fuentes!O66)</f>
        <v>1256.6190068493152</v>
      </c>
      <c r="P108" s="28">
        <f>(P115+P137+P138+P150)/(Fuentes!P66)</f>
        <v>1286.1595041322314</v>
      </c>
      <c r="Q108" s="28">
        <f>(Q115+Q137+Q138+Q150)/(Fuentes!Q66)</f>
        <v>1290.353171495693</v>
      </c>
      <c r="R108" s="28">
        <f>(R115+R137+R138+R150)/(Fuentes!R66)</f>
        <v>1311.2214506172841</v>
      </c>
      <c r="S108" s="28">
        <f>(S115+S137+S138+S150)/(Fuentes!S66)</f>
        <v>1374.5777262180975</v>
      </c>
      <c r="T108" s="28">
        <f>(T115+T137+T138+T150)/(Fuentes!T66)</f>
        <v>1339.4023934181002</v>
      </c>
      <c r="U108" s="28">
        <f>(U115+U137+U138+U150)/(Fuentes!U66)</f>
        <v>1358.2439024390244</v>
      </c>
      <c r="V108" s="28">
        <f>(V115+V137+V138+V150)/(Fuentes!V66)</f>
        <v>1501.2494669509595</v>
      </c>
    </row>
    <row r="109" spans="1:22" s="14" customFormat="1" ht="12.75" x14ac:dyDescent="0.2">
      <c r="A109" s="28" t="s">
        <v>3092</v>
      </c>
      <c r="B109" s="29" t="s">
        <v>3094</v>
      </c>
      <c r="C109" s="29">
        <f>(C138+C150)/(Fuentes!C68+Fuentes!C69)</f>
        <v>308.45652173913044</v>
      </c>
      <c r="D109" s="30">
        <f>(D138+D150)/(Fuentes!D68+Fuentes!D69)</f>
        <v>336.13043478260869</v>
      </c>
      <c r="E109" s="35">
        <f>(E138+E150)/(Fuentes!E68+Fuentes!E69)</f>
        <v>322.63541666666669</v>
      </c>
      <c r="F109" s="28">
        <f>(F138+F150)/(Fuentes!F68+Fuentes!F69)</f>
        <v>315.79591836734693</v>
      </c>
      <c r="G109" s="28">
        <f>(G138+G150)/(Fuentes!G68+Fuentes!G69)</f>
        <v>346.75</v>
      </c>
      <c r="H109" s="36">
        <f>(H138+H150)/(Fuentes!H68+Fuentes!H69)</f>
        <v>323.44329896907215</v>
      </c>
      <c r="I109" s="28">
        <f>(I138+I150)/(Fuentes!I68+Fuentes!I69)</f>
        <v>295.19230769230768</v>
      </c>
      <c r="J109" s="28">
        <f>(J138+J150)/(Fuentes!J68+Fuentes!J69)</f>
        <v>281.56603773584908</v>
      </c>
      <c r="K109" s="28">
        <f>(K138+K150)/(Fuentes!K68+Fuentes!K69)</f>
        <v>241.00819672131146</v>
      </c>
      <c r="L109" s="28">
        <f>(L138+L150)/(Fuentes!L68+Fuentes!L69)</f>
        <v>243.68503937007873</v>
      </c>
      <c r="M109" s="28">
        <f>(M138+M150)/(Fuentes!M68+Fuentes!M69)</f>
        <v>224.29133858267716</v>
      </c>
      <c r="N109" s="28">
        <f>(N138+N150)/(Fuentes!N68+Fuentes!N69)</f>
        <v>204.6</v>
      </c>
      <c r="O109" s="28">
        <f>(O138+O150)/(Fuentes!O68+Fuentes!O69)</f>
        <v>205.20437956204378</v>
      </c>
      <c r="P109" s="28">
        <f>(P138+P150)/(Fuentes!P68+Fuentes!P69)</f>
        <v>207.66428571428571</v>
      </c>
      <c r="Q109" s="28">
        <f>(Q138+Q150)/(Fuentes!Q68+Fuentes!Q69)</f>
        <v>212.04195804195805</v>
      </c>
      <c r="R109" s="28">
        <f>(R138+R150)/(Fuentes!R68+Fuentes!R69)</f>
        <v>207.56081081081081</v>
      </c>
      <c r="S109" s="28">
        <f>(S138+S150)/(Fuentes!S68+Fuentes!S69)</f>
        <v>215.91891891891891</v>
      </c>
      <c r="T109" s="28">
        <f>(T138+T150)/(Fuentes!T68+Fuentes!T69)</f>
        <v>270.83458646616543</v>
      </c>
      <c r="U109" s="28">
        <f>(U138+U150)/(Fuentes!U68+Fuentes!U69)</f>
        <v>273</v>
      </c>
      <c r="V109" s="28">
        <f>(V138+V150)/(Fuentes!V68+Fuentes!V69)</f>
        <v>439.83333333333331</v>
      </c>
    </row>
    <row r="110" spans="1:22" s="14" customFormat="1" ht="12.75" x14ac:dyDescent="0.2">
      <c r="A110" s="28" t="s">
        <v>3092</v>
      </c>
      <c r="B110" s="29" t="s">
        <v>3095</v>
      </c>
      <c r="C110" s="29">
        <f>C115/Fuentes!C67</f>
        <v>2330.1873684210527</v>
      </c>
      <c r="D110" s="30">
        <f>D115/Fuentes!D67</f>
        <v>2154.5034602076125</v>
      </c>
      <c r="E110" s="35">
        <f>E115/Fuentes!E67</f>
        <v>2315.5810344827587</v>
      </c>
      <c r="F110" s="28">
        <f>F115/Fuentes!F67</f>
        <v>2159.2583892617449</v>
      </c>
      <c r="G110" s="28">
        <f>G115/Fuentes!G67</f>
        <v>2023.8247734138972</v>
      </c>
      <c r="H110" s="28">
        <f>H115/Fuentes!H67</f>
        <v>1393.1381872213967</v>
      </c>
      <c r="I110" s="28">
        <f>I115/Fuentes!I67</f>
        <v>1339.8733624454148</v>
      </c>
      <c r="J110" s="28">
        <f>J115/Fuentes!J67</f>
        <v>1349.8555555555556</v>
      </c>
      <c r="K110" s="28">
        <f>K115/Fuentes!K67</f>
        <v>1256.1707317073171</v>
      </c>
      <c r="L110" s="28">
        <f>L115/Fuentes!L67</f>
        <v>1251.5972944849116</v>
      </c>
      <c r="M110" s="28">
        <f>M115/Fuentes!M67</f>
        <v>1498.6961498439125</v>
      </c>
      <c r="N110" s="36">
        <f>N115/Fuentes!N67</f>
        <v>1483.1522177419354</v>
      </c>
      <c r="O110" s="28">
        <f>O115/Fuentes!O67</f>
        <v>1408.3815659068384</v>
      </c>
      <c r="P110" s="28">
        <f>P115/Fuentes!P67</f>
        <v>1439.5862726406101</v>
      </c>
      <c r="Q110" s="28">
        <f>Q115/Fuentes!Q67</f>
        <v>1437.3996399639964</v>
      </c>
      <c r="R110" s="28">
        <f>R115/Fuentes!R67</f>
        <v>1465.7502222222222</v>
      </c>
      <c r="S110" s="28">
        <f>S115/Fuentes!S67</f>
        <v>1538.5374331550802</v>
      </c>
      <c r="T110" s="28">
        <f>T115/Fuentes!T67</f>
        <v>1467.7061812023708</v>
      </c>
      <c r="U110" s="28">
        <f>U115/Fuentes!U67</f>
        <v>1477.3773437499999</v>
      </c>
      <c r="V110" s="28">
        <f>V115/Fuentes!V67</f>
        <v>1593.2529274004685</v>
      </c>
    </row>
    <row r="111" spans="1:22" s="14" customFormat="1" ht="12.75" x14ac:dyDescent="0.2">
      <c r="A111" s="28" t="s">
        <v>3092</v>
      </c>
      <c r="B111" s="29" t="s">
        <v>3096</v>
      </c>
      <c r="C111" s="29">
        <f>(C133+C136)/(Fuentes!C85+Fuentes!C86)</f>
        <v>808.90946502057614</v>
      </c>
      <c r="D111" s="30">
        <f>(D133+D136)/(Fuentes!D85+Fuentes!D86)</f>
        <v>809.89285714285711</v>
      </c>
      <c r="E111" s="35">
        <f>(E133+E136)/(Fuentes!E85+Fuentes!E86)</f>
        <v>793.14393939393938</v>
      </c>
      <c r="F111" s="28">
        <f>(F133+F136)/(Fuentes!F85+Fuentes!F86)</f>
        <v>829.01444043321294</v>
      </c>
      <c r="G111" s="28">
        <f>(G133+G136)/(Fuentes!G85+Fuentes!G86)</f>
        <v>844.31666666666672</v>
      </c>
      <c r="H111" s="36">
        <f>(H133+H136)/(Fuentes!H85+Fuentes!H86)</f>
        <v>718.50602409638554</v>
      </c>
      <c r="I111" s="28">
        <f>(I133+I136)/(Fuentes!I85+Fuentes!I86)</f>
        <v>662.78901734104045</v>
      </c>
      <c r="J111" s="28">
        <f>(J133+J136)/(Fuentes!J85+Fuentes!J86)</f>
        <v>680.58908045977012</v>
      </c>
      <c r="K111" s="28">
        <f>(K133+K136)/(Fuentes!K85+Fuentes!K86)</f>
        <v>712.97943444730072</v>
      </c>
      <c r="L111" s="28">
        <f>(L133+L136)/(Fuentes!L85+Fuentes!L86)</f>
        <v>732.67010309278351</v>
      </c>
      <c r="M111" s="28">
        <f>(M133+M136)/(Fuentes!M85+Fuentes!M86)</f>
        <v>747.68875502008029</v>
      </c>
      <c r="N111" s="28">
        <f>(N133+N136)/(Fuentes!N85+Fuentes!N86)</f>
        <v>765.74501992031867</v>
      </c>
      <c r="O111" s="28">
        <f>(O133+O136)/(Fuentes!O85+Fuentes!O86)</f>
        <v>525.80116959064333</v>
      </c>
      <c r="P111" s="28">
        <f>(P133+P136)/(Fuentes!P85+Fuentes!P86)</f>
        <v>495.30581613508446</v>
      </c>
      <c r="Q111" s="28">
        <f>(Q133+Q136)/(Fuentes!Q85+Fuentes!Q86)</f>
        <v>484.67210144927537</v>
      </c>
      <c r="R111" s="28">
        <f>(R133+R136)/(Fuentes!R85+Fuentes!R86)</f>
        <v>437.05347593582889</v>
      </c>
      <c r="S111" s="28">
        <f>(S133+S136)/(Fuentes!S85+Fuentes!S86)</f>
        <v>420.048128342246</v>
      </c>
      <c r="T111" s="28">
        <f>(T133+T136)/(Fuentes!T85+Fuentes!T86)</f>
        <v>415.92758620689654</v>
      </c>
      <c r="U111" s="28">
        <f>(U133+U136)/(Fuentes!U85+Fuentes!U86)</f>
        <v>450.76500857632931</v>
      </c>
      <c r="V111" s="28">
        <f>(V133+V136)/(Fuentes!V85+Fuentes!V86)</f>
        <v>518.17525773195871</v>
      </c>
    </row>
    <row r="112" spans="1:22" s="14" customFormat="1" ht="12.75" x14ac:dyDescent="0.2">
      <c r="A112" s="28" t="s">
        <v>3092</v>
      </c>
      <c r="B112" s="29" t="s">
        <v>3097</v>
      </c>
      <c r="C112" s="29">
        <f>(C161+C162)/(Fuentes!C90+Fuentes!C91+Fuentes!C92+Fuentes!C93)</f>
        <v>343.85326086956519</v>
      </c>
      <c r="D112" s="30">
        <f>(D161+D162)/(Fuentes!D90+Fuentes!D91+Fuentes!D92+Fuentes!D93)</f>
        <v>331.25130890052355</v>
      </c>
      <c r="E112" s="35">
        <f>(E161+E162)/(Fuentes!E90+Fuentes!E91+Fuentes!E92+Fuentes!E93)</f>
        <v>512.60273972602738</v>
      </c>
      <c r="F112" s="28">
        <f>(F161+F162)/(Fuentes!F90+Fuentes!F91+Fuentes!F92+Fuentes!F93)</f>
        <v>541.96428571428567</v>
      </c>
      <c r="G112" s="28">
        <f>(G161+G162)/(Fuentes!G90+Fuentes!G91+Fuentes!G92+Fuentes!G93)</f>
        <v>561.37339055793996</v>
      </c>
      <c r="H112" s="28">
        <f>(H161+H162)/(Fuentes!H90+Fuentes!H91+Fuentes!H92+Fuentes!H93)</f>
        <v>530.05882352941171</v>
      </c>
      <c r="I112" s="28">
        <f>(I161+I162)/(Fuentes!I90+Fuentes!I91+Fuentes!I92+Fuentes!I93)</f>
        <v>515.83529411764709</v>
      </c>
      <c r="J112" s="28">
        <f>(J161+J162)/(Fuentes!J90+Fuentes!J91+Fuentes!J92+Fuentes!J93)</f>
        <v>476.68363636363637</v>
      </c>
      <c r="K112" s="28">
        <f>(K161+K162)/(Fuentes!K90+Fuentes!K91+Fuentes!K92+Fuentes!K93)</f>
        <v>398.87220447284346</v>
      </c>
      <c r="L112" s="28">
        <f>(L161+L162)/(Fuentes!L90+Fuentes!L91+Fuentes!L92+Fuentes!L93)</f>
        <v>381.27956989247309</v>
      </c>
      <c r="M112" s="28">
        <f>(M161+M162)/(Fuentes!M90+Fuentes!M91+Fuentes!M92+Fuentes!M93)</f>
        <v>381.75331564986737</v>
      </c>
      <c r="N112" s="36">
        <f>(N161+N162)/(Fuentes!N90+Fuentes!N91+Fuentes!N92+Fuentes!N93)</f>
        <v>455.39164490861617</v>
      </c>
      <c r="O112" s="28">
        <f>(O161+O162)/(Fuentes!O90+Fuentes!O91+Fuentes!O92+Fuentes!O93)</f>
        <v>460.43583535108957</v>
      </c>
      <c r="P112" s="28">
        <f>(P161+P162)/(Fuentes!P90+Fuentes!P91+Fuentes!P92+Fuentes!P93)</f>
        <v>456.42128603104214</v>
      </c>
      <c r="Q112" s="28">
        <f>(Q161+Q162)/(Fuentes!Q90+Fuentes!Q91+Fuentes!Q92+Fuentes!Q93)</f>
        <v>441.23467230443975</v>
      </c>
      <c r="R112" s="28">
        <f>(R161+R162)/(Fuentes!R90+Fuentes!R91+Fuentes!R92+Fuentes!R93)</f>
        <v>448.23014256619143</v>
      </c>
      <c r="S112" s="28">
        <f>(S161+S162)/(Fuentes!S90+Fuentes!S91+Fuentes!S92+Fuentes!S93)</f>
        <v>434.35845213849285</v>
      </c>
      <c r="T112" s="28">
        <f>(T161+T162)/(Fuentes!T90+Fuentes!T91+Fuentes!T92+Fuentes!T93)</f>
        <v>373.88183421516754</v>
      </c>
      <c r="U112" s="28">
        <f>(U161+U162)/(Fuentes!U90+Fuentes!U91+Fuentes!U92+Fuentes!U93)</f>
        <v>397.54434782608695</v>
      </c>
      <c r="V112" s="28">
        <f>(V161+V162)/(Fuentes!V90+Fuentes!V91+Fuentes!V92+Fuentes!V93)</f>
        <v>452.4388111888112</v>
      </c>
    </row>
    <row r="113" spans="1:22" s="14" customFormat="1" ht="12.75" x14ac:dyDescent="0.2">
      <c r="A113" s="28" t="s">
        <v>3092</v>
      </c>
      <c r="B113" s="29" t="s">
        <v>3098</v>
      </c>
      <c r="C113" s="29" t="s">
        <v>1078</v>
      </c>
      <c r="D113" s="30" t="s">
        <v>1078</v>
      </c>
      <c r="E113" s="35" t="s">
        <v>1078</v>
      </c>
      <c r="F113" s="28" t="s">
        <v>1078</v>
      </c>
      <c r="G113" s="28" t="s">
        <v>1078</v>
      </c>
      <c r="H113" s="36" t="s">
        <v>1078</v>
      </c>
      <c r="I113" s="28" t="s">
        <v>1078</v>
      </c>
      <c r="J113" s="28" t="s">
        <v>1078</v>
      </c>
      <c r="K113" s="28" t="s">
        <v>1078</v>
      </c>
      <c r="L113" s="28" t="s">
        <v>1078</v>
      </c>
      <c r="M113" s="28" t="s">
        <v>1078</v>
      </c>
      <c r="N113" s="28" t="s">
        <v>1078</v>
      </c>
      <c r="O113" s="28" t="s">
        <v>1078</v>
      </c>
      <c r="P113" s="28" t="s">
        <v>1078</v>
      </c>
      <c r="Q113" s="28" t="s">
        <v>1078</v>
      </c>
      <c r="R113" s="28" t="s">
        <v>1078</v>
      </c>
      <c r="S113" s="28" t="s">
        <v>1078</v>
      </c>
      <c r="T113" s="28" t="s">
        <v>1078</v>
      </c>
      <c r="U113" s="28" t="s">
        <v>1078</v>
      </c>
      <c r="V113" s="28" t="s">
        <v>1078</v>
      </c>
    </row>
    <row r="114" spans="1:22" s="14" customFormat="1" ht="12.75" x14ac:dyDescent="0.2">
      <c r="A114" s="28" t="s">
        <v>3092</v>
      </c>
      <c r="B114" s="29" t="s">
        <v>3099</v>
      </c>
      <c r="C114" s="29" t="s">
        <v>1078</v>
      </c>
      <c r="D114" s="30" t="s">
        <v>1078</v>
      </c>
      <c r="E114" s="35" t="s">
        <v>1078</v>
      </c>
      <c r="F114" s="28" t="s">
        <v>1078</v>
      </c>
      <c r="G114" s="28" t="s">
        <v>1078</v>
      </c>
      <c r="H114" s="28" t="s">
        <v>1078</v>
      </c>
      <c r="I114" s="28" t="s">
        <v>1078</v>
      </c>
      <c r="J114" s="28" t="s">
        <v>1078</v>
      </c>
      <c r="K114" s="28" t="s">
        <v>1078</v>
      </c>
      <c r="L114" s="28" t="s">
        <v>1078</v>
      </c>
      <c r="M114" s="28" t="s">
        <v>1078</v>
      </c>
      <c r="N114" s="36" t="s">
        <v>1078</v>
      </c>
      <c r="O114" s="28" t="s">
        <v>1078</v>
      </c>
      <c r="P114" s="28" t="s">
        <v>1078</v>
      </c>
      <c r="Q114" s="28" t="s">
        <v>1078</v>
      </c>
      <c r="R114" s="28" t="s">
        <v>1078</v>
      </c>
      <c r="S114" s="28" t="s">
        <v>1078</v>
      </c>
      <c r="T114" s="28" t="s">
        <v>1078</v>
      </c>
      <c r="U114" s="28" t="s">
        <v>1078</v>
      </c>
      <c r="V114" s="28" t="s">
        <v>1078</v>
      </c>
    </row>
    <row r="115" spans="1:22" s="14" customFormat="1" ht="12.75" x14ac:dyDescent="0.2">
      <c r="A115" s="28" t="s">
        <v>3092</v>
      </c>
      <c r="B115" s="29" t="s">
        <v>3100</v>
      </c>
      <c r="C115" s="29">
        <f>C118+C130+C134-C133-C136</f>
        <v>1106839</v>
      </c>
      <c r="D115" s="30">
        <f>D118+D130+D134-D133-D136</f>
        <v>1245303</v>
      </c>
      <c r="E115" s="35">
        <f>E118+E130+E134-E133-E136</f>
        <v>1343037</v>
      </c>
      <c r="F115" s="28">
        <f>F118+F130+F134-F133-F136</f>
        <v>1286918</v>
      </c>
      <c r="G115" s="28">
        <f>G118+G130+G134-G133-G136</f>
        <v>1339772</v>
      </c>
      <c r="H115" s="36">
        <f t="shared" ref="H115:V115" si="7">H118+H130+H134-H133-H136</f>
        <v>937582</v>
      </c>
      <c r="I115" s="28">
        <f t="shared" si="7"/>
        <v>920493</v>
      </c>
      <c r="J115" s="28">
        <f t="shared" si="7"/>
        <v>971896</v>
      </c>
      <c r="K115" s="28">
        <f t="shared" si="7"/>
        <v>1030060</v>
      </c>
      <c r="L115" s="28">
        <f t="shared" si="7"/>
        <v>1202785</v>
      </c>
      <c r="M115" s="28">
        <f t="shared" si="7"/>
        <v>1440247</v>
      </c>
      <c r="N115" s="28">
        <f t="shared" si="7"/>
        <v>1471287</v>
      </c>
      <c r="O115" s="28">
        <f t="shared" si="7"/>
        <v>1421057</v>
      </c>
      <c r="P115" s="28">
        <f t="shared" si="7"/>
        <v>1510126</v>
      </c>
      <c r="Q115" s="28">
        <f t="shared" si="7"/>
        <v>1596951</v>
      </c>
      <c r="R115" s="28">
        <f t="shared" si="7"/>
        <v>1648969</v>
      </c>
      <c r="S115" s="28">
        <f t="shared" si="7"/>
        <v>1726239</v>
      </c>
      <c r="T115" s="28">
        <f t="shared" si="7"/>
        <v>1733361</v>
      </c>
      <c r="U115" s="28">
        <f>U118+U130+U134-U133-U136</f>
        <v>1891043</v>
      </c>
      <c r="V115" s="28">
        <f t="shared" si="7"/>
        <v>2040957</v>
      </c>
    </row>
    <row r="116" spans="1:22" s="14" customFormat="1" ht="12.75" x14ac:dyDescent="0.2">
      <c r="A116" s="28" t="s">
        <v>3092</v>
      </c>
      <c r="B116" s="29" t="s">
        <v>3101</v>
      </c>
      <c r="C116" s="29">
        <f>Fuentes!C459+Fuentes!C217+Fuentes!C265+Fuentes!C271+Fuentes!C319+Fuentes!C323</f>
        <v>1086691</v>
      </c>
      <c r="D116" s="30">
        <f>Fuentes!D459+Fuentes!D217+Fuentes!D265+Fuentes!D271+Fuentes!D319+Fuentes!D323</f>
        <v>1220059</v>
      </c>
      <c r="E116" s="35">
        <f>Fuentes!E459+Fuentes!E217+Fuentes!E265+Fuentes!E271+Fuentes!E319+Fuentes!E323</f>
        <v>1316664</v>
      </c>
      <c r="F116" s="28">
        <f>Fuentes!F459+Fuentes!F217+Fuentes!F265+Fuentes!F271+Fuentes!F319+Fuentes!F323</f>
        <v>1217825</v>
      </c>
      <c r="G116" s="28">
        <f>Fuentes!G459+Fuentes!G217+Fuentes!G265+Fuentes!G271+Fuentes!G319+Fuentes!G323</f>
        <v>1249369</v>
      </c>
      <c r="H116" s="28">
        <f>Fuentes!H459+Fuentes!H217+Fuentes!H265+Fuentes!H271+Fuentes!H319+Fuentes!H323</f>
        <v>832834</v>
      </c>
      <c r="I116" s="28">
        <f>Fuentes!I459+Fuentes!I217+Fuentes!I265+Fuentes!I271+Fuentes!I319+Fuentes!I323</f>
        <v>813437</v>
      </c>
      <c r="J116" s="28">
        <f>Fuentes!J459+Fuentes!J217+Fuentes!J265+Fuentes!J271+Fuentes!J319+Fuentes!J323</f>
        <v>858069</v>
      </c>
      <c r="K116" s="28">
        <f>Fuentes!K459+Fuentes!K217+Fuentes!K265+Fuentes!K271+Fuentes!K319+Fuentes!K323</f>
        <v>914504</v>
      </c>
      <c r="L116" s="28">
        <f>Fuentes!L459+Fuentes!L217+Fuentes!L265+Fuentes!L271+Fuentes!L319+Fuentes!L323</f>
        <v>1081351</v>
      </c>
      <c r="M116" s="28">
        <f>Fuentes!M459+Fuentes!M217+Fuentes!M265+Fuentes!M271+Fuentes!M319+Fuentes!M323</f>
        <v>1339086</v>
      </c>
      <c r="N116" s="36">
        <f>Fuentes!N459+Fuentes!N217+Fuentes!N265+Fuentes!N271+Fuentes!N319+Fuentes!N323</f>
        <v>1337012</v>
      </c>
      <c r="O116" s="28">
        <f>Fuentes!O459+Fuentes!O217+Fuentes!O265+Fuentes!O271+Fuentes!O319+Fuentes!O323</f>
        <v>1280019</v>
      </c>
      <c r="P116" s="28">
        <f>Fuentes!P459+Fuentes!P217+Fuentes!P265+Fuentes!P271+Fuentes!P319+Fuentes!P323</f>
        <v>1282042</v>
      </c>
      <c r="Q116" s="28">
        <f>Fuentes!Q459+Fuentes!Q217+Fuentes!Q265+Fuentes!Q271+Fuentes!Q319+Fuentes!Q323</f>
        <v>1338743</v>
      </c>
      <c r="R116" s="28">
        <f>Fuentes!R459+Fuentes!R217+Fuentes!R265+Fuentes!R271+Fuentes!R319+Fuentes!R323</f>
        <v>1359250</v>
      </c>
      <c r="S116" s="28">
        <f>Fuentes!S459+Fuentes!S217+Fuentes!S265+Fuentes!S271+Fuentes!S319+Fuentes!S323</f>
        <v>1399483</v>
      </c>
      <c r="T116" s="28">
        <f>Fuentes!T459+Fuentes!T217+Fuentes!T265+Fuentes!T271+Fuentes!T319+Fuentes!T323</f>
        <v>1394756</v>
      </c>
      <c r="U116" s="28">
        <f>Fuentes!U459+Fuentes!U217+Fuentes!U265+Fuentes!U271+Fuentes!U319+Fuentes!U323</f>
        <v>1518400</v>
      </c>
      <c r="V116" s="28">
        <f>Fuentes!V459+Fuentes!V217+Fuentes!V265+Fuentes!V271+Fuentes!V319+Fuentes!V323</f>
        <v>1648095</v>
      </c>
    </row>
    <row r="117" spans="1:22" s="14" customFormat="1" ht="12.75" x14ac:dyDescent="0.2">
      <c r="A117" s="28" t="s">
        <v>3092</v>
      </c>
      <c r="B117" s="29" t="s">
        <v>3102</v>
      </c>
      <c r="C117" s="29">
        <f>C118+C130+C134</f>
        <v>1303404</v>
      </c>
      <c r="D117" s="30">
        <f t="shared" ref="D117:V117" si="8">D118+D130+D134</f>
        <v>1449396</v>
      </c>
      <c r="E117" s="35">
        <f t="shared" si="8"/>
        <v>1552427</v>
      </c>
      <c r="F117" s="28">
        <f t="shared" si="8"/>
        <v>1516555</v>
      </c>
      <c r="G117" s="28">
        <f t="shared" si="8"/>
        <v>1593067</v>
      </c>
      <c r="H117" s="36">
        <f t="shared" si="8"/>
        <v>1176126</v>
      </c>
      <c r="I117" s="28">
        <f t="shared" si="8"/>
        <v>1149818</v>
      </c>
      <c r="J117" s="28">
        <f t="shared" si="8"/>
        <v>1208741</v>
      </c>
      <c r="K117" s="28">
        <f t="shared" si="8"/>
        <v>1307409</v>
      </c>
      <c r="L117" s="28">
        <f t="shared" si="8"/>
        <v>1558130</v>
      </c>
      <c r="M117" s="28">
        <f t="shared" si="8"/>
        <v>1812596</v>
      </c>
      <c r="N117" s="28">
        <f t="shared" si="8"/>
        <v>1855691</v>
      </c>
      <c r="O117" s="28">
        <f t="shared" si="8"/>
        <v>1690793</v>
      </c>
      <c r="P117" s="28">
        <f t="shared" si="8"/>
        <v>1774124</v>
      </c>
      <c r="Q117" s="28">
        <f t="shared" si="8"/>
        <v>1864490</v>
      </c>
      <c r="R117" s="28">
        <f t="shared" si="8"/>
        <v>1894156</v>
      </c>
      <c r="S117" s="28">
        <f t="shared" si="8"/>
        <v>1961886</v>
      </c>
      <c r="T117" s="28">
        <f t="shared" si="8"/>
        <v>1974599</v>
      </c>
      <c r="U117" s="28">
        <f t="shared" si="8"/>
        <v>2153839</v>
      </c>
      <c r="V117" s="28">
        <f t="shared" si="8"/>
        <v>2342535</v>
      </c>
    </row>
    <row r="118" spans="1:22" s="14" customFormat="1" ht="12.75" x14ac:dyDescent="0.2">
      <c r="A118" s="28" t="s">
        <v>3092</v>
      </c>
      <c r="B118" s="29" t="s">
        <v>3103</v>
      </c>
      <c r="C118" s="29">
        <f>SUM(C119:C129)</f>
        <v>992865</v>
      </c>
      <c r="D118" s="30">
        <f t="shared" ref="D118:V118" si="9">SUM(D119:D129)</f>
        <v>1120323</v>
      </c>
      <c r="E118" s="35">
        <f t="shared" si="9"/>
        <v>1208492</v>
      </c>
      <c r="F118" s="28">
        <f t="shared" si="9"/>
        <v>1144292</v>
      </c>
      <c r="G118" s="28">
        <f t="shared" si="9"/>
        <v>1165533</v>
      </c>
      <c r="H118" s="28">
        <f t="shared" si="9"/>
        <v>754642</v>
      </c>
      <c r="I118" s="28">
        <f t="shared" si="9"/>
        <v>733620</v>
      </c>
      <c r="J118" s="28">
        <f t="shared" si="9"/>
        <v>778971</v>
      </c>
      <c r="K118" s="28">
        <f t="shared" si="9"/>
        <v>813958</v>
      </c>
      <c r="L118" s="28">
        <f t="shared" si="9"/>
        <v>937075</v>
      </c>
      <c r="M118" s="28">
        <f t="shared" si="9"/>
        <v>1161237</v>
      </c>
      <c r="N118" s="36">
        <f t="shared" si="9"/>
        <v>1149635</v>
      </c>
      <c r="O118" s="28">
        <f t="shared" si="9"/>
        <v>1170882</v>
      </c>
      <c r="P118" s="28">
        <f t="shared" si="9"/>
        <v>1269070</v>
      </c>
      <c r="Q118" s="28">
        <f t="shared" si="9"/>
        <v>1366247</v>
      </c>
      <c r="R118" s="28">
        <f t="shared" si="9"/>
        <v>1423674</v>
      </c>
      <c r="S118" s="28">
        <f t="shared" si="9"/>
        <v>1512708</v>
      </c>
      <c r="T118" s="28">
        <f t="shared" si="9"/>
        <v>1533002</v>
      </c>
      <c r="U118" s="28">
        <f t="shared" si="9"/>
        <v>1688696</v>
      </c>
      <c r="V118" s="28">
        <f t="shared" si="9"/>
        <v>1808002</v>
      </c>
    </row>
    <row r="119" spans="1:22" s="14" customFormat="1" ht="12.75" x14ac:dyDescent="0.2">
      <c r="A119" s="28" t="s">
        <v>3092</v>
      </c>
      <c r="B119" s="29" t="s">
        <v>3104</v>
      </c>
      <c r="C119" s="29">
        <f>Fuentes!C170+Fuentes!C220+Fuentes!C274+Fuentes!C326+Fuentes!C320</f>
        <v>159645</v>
      </c>
      <c r="D119" s="30">
        <f>Fuentes!D170+Fuentes!D220+Fuentes!D274+Fuentes!D326+Fuentes!D320</f>
        <v>156419</v>
      </c>
      <c r="E119" s="35">
        <f>Fuentes!E170+Fuentes!E220+Fuentes!E274+Fuentes!E326+Fuentes!E320</f>
        <v>160027</v>
      </c>
      <c r="F119" s="28">
        <f>Fuentes!F170+Fuentes!F220+Fuentes!F274+Fuentes!F326+Fuentes!F320</f>
        <v>168870</v>
      </c>
      <c r="G119" s="28">
        <f>Fuentes!G170+Fuentes!G220+Fuentes!G274+Fuentes!G326+Fuentes!G320</f>
        <v>176103</v>
      </c>
      <c r="H119" s="36">
        <f>Fuentes!H170+Fuentes!H220+Fuentes!H274+Fuentes!H326+Fuentes!H320</f>
        <v>171156</v>
      </c>
      <c r="I119" s="28">
        <f>Fuentes!I170+Fuentes!I220+Fuentes!I274+Fuentes!I326+Fuentes!I320</f>
        <v>178648</v>
      </c>
      <c r="J119" s="28">
        <f>Fuentes!J170+Fuentes!J220+Fuentes!J274+Fuentes!J326+Fuentes!J320</f>
        <v>202903</v>
      </c>
      <c r="K119" s="28">
        <f>Fuentes!K170+Fuentes!K220+Fuentes!K274+Fuentes!K326+Fuentes!K320</f>
        <v>228798</v>
      </c>
      <c r="L119" s="28">
        <f>Fuentes!L170+Fuentes!L220+Fuentes!L274+Fuentes!L326+Fuentes!L320</f>
        <v>353624</v>
      </c>
      <c r="M119" s="28">
        <f>Fuentes!M170+Fuentes!M220+Fuentes!M274+Fuentes!M326+Fuentes!M320</f>
        <v>436813</v>
      </c>
      <c r="N119" s="28">
        <f>Fuentes!N170+Fuentes!N220+Fuentes!N274+Fuentes!N326+Fuentes!N320</f>
        <v>266458</v>
      </c>
      <c r="O119" s="28">
        <f>Fuentes!O170+Fuentes!O220+Fuentes!O274+Fuentes!O326+Fuentes!O320</f>
        <v>189784</v>
      </c>
      <c r="P119" s="28">
        <f>Fuentes!P170+Fuentes!P220+Fuentes!P274+Fuentes!P326+Fuentes!P320</f>
        <v>143484</v>
      </c>
      <c r="Q119" s="28">
        <f>Fuentes!Q170+Fuentes!Q220+Fuentes!Q274+Fuentes!Q326+Fuentes!Q320</f>
        <v>141848</v>
      </c>
      <c r="R119" s="28">
        <f>Fuentes!R170+Fuentes!R220+Fuentes!R274+Fuentes!R326+Fuentes!R320</f>
        <v>121919</v>
      </c>
      <c r="S119" s="28">
        <f>Fuentes!S170+Fuentes!S220+Fuentes!S274+Fuentes!S326+Fuentes!S320</f>
        <v>113286</v>
      </c>
      <c r="T119" s="28">
        <f>Fuentes!T170+Fuentes!T220+Fuentes!T274+Fuentes!T326+Fuentes!T320</f>
        <v>102950</v>
      </c>
      <c r="U119" s="28">
        <f>Fuentes!U170+Fuentes!U220+Fuentes!U274+Fuentes!U326+Fuentes!U320</f>
        <v>105615</v>
      </c>
      <c r="V119" s="28">
        <f>Fuentes!V170+Fuentes!V220+Fuentes!V274+Fuentes!V326+Fuentes!V320</f>
        <v>94997</v>
      </c>
    </row>
    <row r="120" spans="1:22" s="14" customFormat="1" ht="12.75" x14ac:dyDescent="0.2">
      <c r="A120" s="28" t="s">
        <v>3092</v>
      </c>
      <c r="B120" s="29" t="s">
        <v>3105</v>
      </c>
      <c r="C120" s="29">
        <f>Fuentes!C171+Fuentes!C221+Fuentes!C275+Fuentes!C327+Fuentes!C321</f>
        <v>0</v>
      </c>
      <c r="D120" s="30">
        <f>Fuentes!D171+Fuentes!D221+Fuentes!D275+Fuentes!D327+Fuentes!D321</f>
        <v>0</v>
      </c>
      <c r="E120" s="35">
        <f>Fuentes!E171+Fuentes!E221+Fuentes!E275+Fuentes!E327+Fuentes!E321</f>
        <v>0</v>
      </c>
      <c r="F120" s="28">
        <f>Fuentes!F171+Fuentes!F221+Fuentes!F275+Fuentes!F327+Fuentes!F321</f>
        <v>0</v>
      </c>
      <c r="G120" s="28">
        <f>Fuentes!G171+Fuentes!G221+Fuentes!G275+Fuentes!G327+Fuentes!G321</f>
        <v>0</v>
      </c>
      <c r="H120" s="28">
        <f>Fuentes!H171+Fuentes!H221+Fuentes!H275+Fuentes!H327+Fuentes!H321</f>
        <v>0</v>
      </c>
      <c r="I120" s="28">
        <f>Fuentes!I171+Fuentes!I221+Fuentes!I275+Fuentes!I327+Fuentes!I321</f>
        <v>0</v>
      </c>
      <c r="J120" s="28">
        <f>Fuentes!J171+Fuentes!J221+Fuentes!J275+Fuentes!J327+Fuentes!J321</f>
        <v>0</v>
      </c>
      <c r="K120" s="28">
        <f>Fuentes!K171+Fuentes!K221+Fuentes!K275+Fuentes!K327+Fuentes!K321</f>
        <v>0</v>
      </c>
      <c r="L120" s="28">
        <f>Fuentes!L171+Fuentes!L221+Fuentes!L275+Fuentes!L327+Fuentes!L321</f>
        <v>0</v>
      </c>
      <c r="M120" s="28">
        <f>Fuentes!M171+Fuentes!M221+Fuentes!M275+Fuentes!M327+Fuentes!M321</f>
        <v>142760</v>
      </c>
      <c r="N120" s="36">
        <f>Fuentes!N171+Fuentes!N221+Fuentes!N275+Fuentes!N327+Fuentes!N321</f>
        <v>293791</v>
      </c>
      <c r="O120" s="28">
        <f>Fuentes!O171+Fuentes!O221+Fuentes!O275+Fuentes!O327+Fuentes!O321</f>
        <v>378836</v>
      </c>
      <c r="P120" s="28">
        <f>Fuentes!P171+Fuentes!P221+Fuentes!P275+Fuentes!P327+Fuentes!P321</f>
        <v>501494</v>
      </c>
      <c r="Q120" s="28">
        <f>Fuentes!Q171+Fuentes!Q221+Fuentes!Q275+Fuentes!Q327+Fuentes!Q321</f>
        <v>563683</v>
      </c>
      <c r="R120" s="28">
        <f>Fuentes!R171+Fuentes!R221+Fuentes!R275+Fuentes!R327+Fuentes!R321</f>
        <v>598161</v>
      </c>
      <c r="S120" s="28">
        <f>Fuentes!S171+Fuentes!S221+Fuentes!S275+Fuentes!S327+Fuentes!S321</f>
        <v>684552</v>
      </c>
      <c r="T120" s="28">
        <f>Fuentes!T171+Fuentes!T221+Fuentes!T275+Fuentes!T327+Fuentes!T321</f>
        <v>732794</v>
      </c>
      <c r="U120" s="28">
        <f>Fuentes!U171+Fuentes!U221+Fuentes!U275+Fuentes!U327+Fuentes!U321</f>
        <v>888786</v>
      </c>
      <c r="V120" s="28">
        <f>Fuentes!V171+Fuentes!V221+Fuentes!V275+Fuentes!V327+Fuentes!V321</f>
        <v>985335</v>
      </c>
    </row>
    <row r="121" spans="1:22" s="14" customFormat="1" ht="12.75" x14ac:dyDescent="0.2">
      <c r="A121" s="28" t="s">
        <v>3092</v>
      </c>
      <c r="B121" s="29" t="s">
        <v>3106</v>
      </c>
      <c r="C121" s="29">
        <f>Fuentes!C172+Fuentes!C222+Fuentes!C276+Fuentes!C328</f>
        <v>0</v>
      </c>
      <c r="D121" s="30">
        <f>Fuentes!D172+Fuentes!D222+Fuentes!D276+Fuentes!D328</f>
        <v>7999</v>
      </c>
      <c r="E121" s="35">
        <f>Fuentes!E172+Fuentes!E222+Fuentes!E276+Fuentes!E328</f>
        <v>8127</v>
      </c>
      <c r="F121" s="28">
        <f>Fuentes!F172+Fuentes!F222+Fuentes!F276+Fuentes!F328</f>
        <v>7946</v>
      </c>
      <c r="G121" s="28">
        <f>Fuentes!G172+Fuentes!G222+Fuentes!G276+Fuentes!G328</f>
        <v>8234</v>
      </c>
      <c r="H121" s="36">
        <f>Fuentes!H172+Fuentes!H222+Fuentes!H276+Fuentes!H328</f>
        <v>8618</v>
      </c>
      <c r="I121" s="28">
        <f>Fuentes!I172+Fuentes!I222+Fuentes!I276+Fuentes!I328</f>
        <v>8673</v>
      </c>
      <c r="J121" s="28">
        <f>Fuentes!J172+Fuentes!J222+Fuentes!J276+Fuentes!J328</f>
        <v>9265</v>
      </c>
      <c r="K121" s="28">
        <f>Fuentes!K172+Fuentes!K222+Fuentes!K276+Fuentes!K328</f>
        <v>10468</v>
      </c>
      <c r="L121" s="28">
        <f>Fuentes!L172+Fuentes!L222+Fuentes!L276+Fuentes!L328</f>
        <v>13132</v>
      </c>
      <c r="M121" s="28">
        <f>Fuentes!M172+Fuentes!M222+Fuentes!M276+Fuentes!M328</f>
        <v>13013</v>
      </c>
      <c r="N121" s="28">
        <f>Fuentes!N172+Fuentes!N222+Fuentes!N276+Fuentes!N328</f>
        <v>13507</v>
      </c>
      <c r="O121" s="28">
        <f>Fuentes!O172+Fuentes!O222+Fuentes!O276+Fuentes!O328</f>
        <v>12558</v>
      </c>
      <c r="P121" s="28">
        <f>Fuentes!P172+Fuentes!P222+Fuentes!P276+Fuentes!P328</f>
        <v>12631</v>
      </c>
      <c r="Q121" s="28">
        <f>Fuentes!Q172+Fuentes!Q222+Fuentes!Q276+Fuentes!Q328</f>
        <v>12745</v>
      </c>
      <c r="R121" s="28">
        <f>Fuentes!R172+Fuentes!R222+Fuentes!R276+Fuentes!R328</f>
        <v>12355</v>
      </c>
      <c r="S121" s="28">
        <f>Fuentes!S172+Fuentes!S222+Fuentes!S276+Fuentes!S328</f>
        <v>11634</v>
      </c>
      <c r="T121" s="28">
        <f>Fuentes!T172+Fuentes!T222+Fuentes!T276+Fuentes!T328</f>
        <v>11052</v>
      </c>
      <c r="U121" s="28">
        <f>Fuentes!U172+Fuentes!U222+Fuentes!U276+Fuentes!U328</f>
        <v>11278</v>
      </c>
      <c r="V121" s="28">
        <f>Fuentes!V172+Fuentes!V222+Fuentes!V276+Fuentes!V328</f>
        <v>12237</v>
      </c>
    </row>
    <row r="122" spans="1:22" s="14" customFormat="1" ht="12.75" x14ac:dyDescent="0.2">
      <c r="A122" s="28" t="s">
        <v>3092</v>
      </c>
      <c r="B122" s="29" t="s">
        <v>3107</v>
      </c>
      <c r="C122" s="29">
        <f>Fuentes!C173+Fuentes!C223+Fuentes!C277+Fuentes!C329</f>
        <v>33225</v>
      </c>
      <c r="D122" s="30">
        <f>Fuentes!D173+Fuentes!D223+Fuentes!D277+Fuentes!D329</f>
        <v>36383</v>
      </c>
      <c r="E122" s="35">
        <f>Fuentes!E173+Fuentes!E223+Fuentes!E277+Fuentes!E329</f>
        <v>40392</v>
      </c>
      <c r="F122" s="28">
        <f>Fuentes!F173+Fuentes!F223+Fuentes!F277+Fuentes!F329</f>
        <v>40681</v>
      </c>
      <c r="G122" s="28">
        <f>Fuentes!G173+Fuentes!G223+Fuentes!G277+Fuentes!G329</f>
        <v>41880</v>
      </c>
      <c r="H122" s="28">
        <f>Fuentes!H173+Fuentes!H223+Fuentes!H277+Fuentes!H329</f>
        <v>40929</v>
      </c>
      <c r="I122" s="28">
        <f>Fuentes!I173+Fuentes!I223+Fuentes!I277+Fuentes!I329</f>
        <v>39619</v>
      </c>
      <c r="J122" s="28">
        <f>Fuentes!J173+Fuentes!J223+Fuentes!J277+Fuentes!J329</f>
        <v>40522</v>
      </c>
      <c r="K122" s="28">
        <f>Fuentes!K173+Fuentes!K223+Fuentes!K277+Fuentes!K329</f>
        <v>39465</v>
      </c>
      <c r="L122" s="28">
        <f>Fuentes!L173+Fuentes!L223+Fuentes!L277+Fuentes!L329</f>
        <v>42840</v>
      </c>
      <c r="M122" s="28">
        <f>Fuentes!M173+Fuentes!M223+Fuentes!M277+Fuentes!M329</f>
        <v>44786</v>
      </c>
      <c r="N122" s="36">
        <f>Fuentes!N173+Fuentes!N223+Fuentes!N277+Fuentes!N329</f>
        <v>45172</v>
      </c>
      <c r="O122" s="28">
        <f>Fuentes!O173+Fuentes!O223+Fuentes!O277+Fuentes!O329</f>
        <v>47151</v>
      </c>
      <c r="P122" s="28">
        <f>Fuentes!P173+Fuentes!P223+Fuentes!P277+Fuentes!P329</f>
        <v>48020</v>
      </c>
      <c r="Q122" s="28">
        <f>Fuentes!Q173+Fuentes!Q223+Fuentes!Q277+Fuentes!Q329</f>
        <v>49346</v>
      </c>
      <c r="R122" s="28">
        <f>Fuentes!R173+Fuentes!R223+Fuentes!R277+Fuentes!R329</f>
        <v>51108</v>
      </c>
      <c r="S122" s="28">
        <f>Fuentes!S173+Fuentes!S223+Fuentes!S277+Fuentes!S329</f>
        <v>51831</v>
      </c>
      <c r="T122" s="28">
        <f>Fuentes!T173+Fuentes!T223+Fuentes!T277+Fuentes!T329</f>
        <v>51314</v>
      </c>
      <c r="U122" s="28">
        <f>Fuentes!U173+Fuentes!U223+Fuentes!U277+Fuentes!U329</f>
        <v>51213</v>
      </c>
      <c r="V122" s="28">
        <f>Fuentes!V173+Fuentes!V223+Fuentes!V277+Fuentes!V329</f>
        <v>55109</v>
      </c>
    </row>
    <row r="123" spans="1:22" s="14" customFormat="1" ht="12.75" x14ac:dyDescent="0.2">
      <c r="A123" s="28" t="s">
        <v>3092</v>
      </c>
      <c r="B123" s="29" t="s">
        <v>3108</v>
      </c>
      <c r="C123" s="29">
        <f>Fuentes!C174+Fuentes!C224+Fuentes!C278+Fuentes!C330+Fuentes!C267</f>
        <v>59656</v>
      </c>
      <c r="D123" s="30">
        <f>Fuentes!D174+Fuentes!D224+Fuentes!D278+Fuentes!D330+Fuentes!D267</f>
        <v>63816</v>
      </c>
      <c r="E123" s="35">
        <f>Fuentes!E174+Fuentes!E224+Fuentes!E278+Fuentes!E330+Fuentes!E267</f>
        <v>54402</v>
      </c>
      <c r="F123" s="28">
        <f>Fuentes!F174+Fuentes!F224+Fuentes!F278+Fuentes!F330+Fuentes!F267</f>
        <v>58646</v>
      </c>
      <c r="G123" s="28">
        <f>Fuentes!G174+Fuentes!G224+Fuentes!G278+Fuentes!G330+Fuentes!G267</f>
        <v>67878</v>
      </c>
      <c r="H123" s="36">
        <f>Fuentes!H174+Fuentes!H224+Fuentes!H278+Fuentes!H330+Fuentes!H267</f>
        <v>72184</v>
      </c>
      <c r="I123" s="28">
        <f>Fuentes!I174+Fuentes!I224+Fuentes!I278+Fuentes!I330+Fuentes!I267</f>
        <v>84501</v>
      </c>
      <c r="J123" s="28">
        <f>Fuentes!J174+Fuentes!J224+Fuentes!J278+Fuentes!J330+Fuentes!J267</f>
        <v>84332</v>
      </c>
      <c r="K123" s="28">
        <f>Fuentes!K174+Fuentes!K224+Fuentes!K278+Fuentes!K330+Fuentes!K267</f>
        <v>80240</v>
      </c>
      <c r="L123" s="28">
        <f>Fuentes!L174+Fuentes!L224+Fuentes!L278+Fuentes!L330+Fuentes!L267</f>
        <v>68740</v>
      </c>
      <c r="M123" s="28">
        <f>Fuentes!M174+Fuentes!M224+Fuentes!M278+Fuentes!M330+Fuentes!M267</f>
        <v>61867</v>
      </c>
      <c r="N123" s="28">
        <f>Fuentes!N174+Fuentes!N224+Fuentes!N278+Fuentes!N330+Fuentes!N267</f>
        <v>57034</v>
      </c>
      <c r="O123" s="28">
        <f>Fuentes!O174+Fuentes!O224+Fuentes!O278+Fuentes!O330+Fuentes!O267</f>
        <v>47835</v>
      </c>
      <c r="P123" s="28">
        <f>Fuentes!P174+Fuentes!P224+Fuentes!P278+Fuentes!P330+Fuentes!P267</f>
        <v>24697</v>
      </c>
      <c r="Q123" s="28">
        <f>Fuentes!Q174+Fuentes!Q224+Fuentes!Q278+Fuentes!Q330+Fuentes!Q267</f>
        <v>28889</v>
      </c>
      <c r="R123" s="28">
        <f>Fuentes!R174+Fuentes!R224+Fuentes!R278+Fuentes!R330+Fuentes!R267</f>
        <v>33356</v>
      </c>
      <c r="S123" s="28">
        <f>Fuentes!S174+Fuentes!S224+Fuentes!S278+Fuentes!S330+Fuentes!S267</f>
        <v>36487</v>
      </c>
      <c r="T123" s="28">
        <f>Fuentes!T174+Fuentes!T224+Fuentes!T278+Fuentes!T330+Fuentes!T267</f>
        <v>38711</v>
      </c>
      <c r="U123" s="28">
        <f>Fuentes!U174+Fuentes!U224+Fuentes!U278+Fuentes!U330+Fuentes!U267</f>
        <v>38444</v>
      </c>
      <c r="V123" s="28">
        <f>Fuentes!V174+Fuentes!V224+Fuentes!V278+Fuentes!V330+Fuentes!V267</f>
        <v>35900</v>
      </c>
    </row>
    <row r="124" spans="1:22" s="14" customFormat="1" ht="12.75" x14ac:dyDescent="0.2">
      <c r="A124" s="28" t="s">
        <v>3092</v>
      </c>
      <c r="B124" s="29" t="s">
        <v>3109</v>
      </c>
      <c r="C124" s="29">
        <f>Fuentes!C175+Fuentes!C225+Fuentes!C279+Fuentes!C331+Fuentes!C268</f>
        <v>52108</v>
      </c>
      <c r="D124" s="30">
        <f>Fuentes!D175+Fuentes!D225+Fuentes!D279+Fuentes!D331+Fuentes!D268</f>
        <v>50915</v>
      </c>
      <c r="E124" s="35">
        <f>Fuentes!E175+Fuentes!E225+Fuentes!E279+Fuentes!E331+Fuentes!E268</f>
        <v>45607</v>
      </c>
      <c r="F124" s="28">
        <f>Fuentes!F175+Fuentes!F225+Fuentes!F279+Fuentes!F331+Fuentes!F268</f>
        <v>47951</v>
      </c>
      <c r="G124" s="28">
        <f>Fuentes!G175+Fuentes!G225+Fuentes!G279+Fuentes!G331+Fuentes!G268</f>
        <v>51733</v>
      </c>
      <c r="H124" s="28">
        <f>Fuentes!H175+Fuentes!H225+Fuentes!H279+Fuentes!H331+Fuentes!H268</f>
        <v>50645</v>
      </c>
      <c r="I124" s="28">
        <f>Fuentes!I175+Fuentes!I225+Fuentes!I279+Fuentes!I331+Fuentes!I268</f>
        <v>50958</v>
      </c>
      <c r="J124" s="28">
        <f>Fuentes!J175+Fuentes!J225+Fuentes!J279+Fuentes!J331+Fuentes!J268</f>
        <v>55184</v>
      </c>
      <c r="K124" s="28">
        <f>Fuentes!K175+Fuentes!K225+Fuentes!K279+Fuentes!K331+Fuentes!K268</f>
        <v>55686</v>
      </c>
      <c r="L124" s="28">
        <f>Fuentes!L175+Fuentes!L225+Fuentes!L279+Fuentes!L331+Fuentes!L268</f>
        <v>59606</v>
      </c>
      <c r="M124" s="28">
        <f>Fuentes!M175+Fuentes!M225+Fuentes!M279+Fuentes!M331+Fuentes!M268</f>
        <v>64680</v>
      </c>
      <c r="N124" s="36">
        <f>Fuentes!N175+Fuentes!N225+Fuentes!N279+Fuentes!N331+Fuentes!N268</f>
        <v>71462</v>
      </c>
      <c r="O124" s="28">
        <f>Fuentes!O175+Fuentes!O225+Fuentes!O279+Fuentes!O331+Fuentes!O268</f>
        <v>75018</v>
      </c>
      <c r="P124" s="28">
        <f>Fuentes!P175+Fuentes!P225+Fuentes!P279+Fuentes!P331+Fuentes!P268</f>
        <v>78764</v>
      </c>
      <c r="Q124" s="28">
        <f>Fuentes!Q175+Fuentes!Q225+Fuentes!Q279+Fuentes!Q331+Fuentes!Q268</f>
        <v>81623</v>
      </c>
      <c r="R124" s="28">
        <f>Fuentes!R175+Fuentes!R225+Fuentes!R279+Fuentes!R331+Fuentes!R268</f>
        <v>86755</v>
      </c>
      <c r="S124" s="28">
        <f>Fuentes!S175+Fuentes!S225+Fuentes!S279+Fuentes!S331+Fuentes!S268</f>
        <v>86032</v>
      </c>
      <c r="T124" s="28">
        <f>Fuentes!T175+Fuentes!T225+Fuentes!T279+Fuentes!T331+Fuentes!T268</f>
        <v>88529</v>
      </c>
      <c r="U124" s="28">
        <f>Fuentes!U175+Fuentes!U225+Fuentes!U279+Fuentes!U331+Fuentes!U268</f>
        <v>84211</v>
      </c>
      <c r="V124" s="28">
        <f>Fuentes!V175+Fuentes!V225+Fuentes!V279+Fuentes!V331+Fuentes!V268</f>
        <v>87488</v>
      </c>
    </row>
    <row r="125" spans="1:22" s="14" customFormat="1" ht="12.75" x14ac:dyDescent="0.2">
      <c r="A125" s="28" t="s">
        <v>3092</v>
      </c>
      <c r="B125" s="29" t="s">
        <v>3110</v>
      </c>
      <c r="C125" s="29">
        <f>Fuentes!C176+Fuentes!C226+Fuentes!C280+Fuentes!C332</f>
        <v>87011</v>
      </c>
      <c r="D125" s="30">
        <f>Fuentes!D176+Fuentes!D226+Fuentes!D280+Fuentes!D332</f>
        <v>80007</v>
      </c>
      <c r="E125" s="35">
        <f>Fuentes!E176+Fuentes!E226+Fuentes!E280+Fuentes!E332</f>
        <v>74974</v>
      </c>
      <c r="F125" s="28">
        <f>Fuentes!F176+Fuentes!F226+Fuentes!F280+Fuentes!F332</f>
        <v>73577</v>
      </c>
      <c r="G125" s="28">
        <f>Fuentes!G176+Fuentes!G226+Fuentes!G280+Fuentes!G332</f>
        <v>79481</v>
      </c>
      <c r="H125" s="36">
        <f>Fuentes!H176+Fuentes!H226+Fuentes!H280+Fuentes!H332</f>
        <v>78391</v>
      </c>
      <c r="I125" s="28">
        <f>Fuentes!I176+Fuentes!I226+Fuentes!I280+Fuentes!I332</f>
        <v>74972</v>
      </c>
      <c r="J125" s="28">
        <f>Fuentes!J176+Fuentes!J226+Fuentes!J280+Fuentes!J332</f>
        <v>76062</v>
      </c>
      <c r="K125" s="28">
        <f>Fuentes!K176+Fuentes!K226+Fuentes!K280+Fuentes!K332</f>
        <v>78903</v>
      </c>
      <c r="L125" s="28">
        <f>Fuentes!L176+Fuentes!L226+Fuentes!L280+Fuentes!L332</f>
        <v>77831</v>
      </c>
      <c r="M125" s="28">
        <f>Fuentes!M176+Fuentes!M226+Fuentes!M280+Fuentes!M332</f>
        <v>77555</v>
      </c>
      <c r="N125" s="28">
        <f>Fuentes!N176+Fuentes!N226+Fuentes!N280+Fuentes!N332</f>
        <v>78829</v>
      </c>
      <c r="O125" s="28">
        <f>Fuentes!O176+Fuentes!O226+Fuentes!O280+Fuentes!O332</f>
        <v>78392</v>
      </c>
      <c r="P125" s="28">
        <f>Fuentes!P176+Fuentes!P226+Fuentes!P280+Fuentes!P332</f>
        <v>75185</v>
      </c>
      <c r="Q125" s="28">
        <f>Fuentes!Q176+Fuentes!Q226+Fuentes!Q280+Fuentes!Q332</f>
        <v>69118</v>
      </c>
      <c r="R125" s="28">
        <f>Fuentes!R176+Fuentes!R226+Fuentes!R280+Fuentes!R332</f>
        <v>67569</v>
      </c>
      <c r="S125" s="28">
        <f>Fuentes!S176+Fuentes!S226+Fuentes!S280+Fuentes!S332</f>
        <v>65465</v>
      </c>
      <c r="T125" s="28">
        <f>Fuentes!T176+Fuentes!T226+Fuentes!T280+Fuentes!T332</f>
        <v>57972</v>
      </c>
      <c r="U125" s="28">
        <f>Fuentes!U176+Fuentes!U226+Fuentes!U280+Fuentes!U332</f>
        <v>59900</v>
      </c>
      <c r="V125" s="28">
        <f>Fuentes!V176+Fuentes!V226+Fuentes!V280+Fuentes!V332</f>
        <v>66079</v>
      </c>
    </row>
    <row r="126" spans="1:22" s="14" customFormat="1" ht="12.75" x14ac:dyDescent="0.2">
      <c r="A126" s="28" t="s">
        <v>3092</v>
      </c>
      <c r="B126" s="29" t="s">
        <v>3111</v>
      </c>
      <c r="C126" s="29">
        <f>Fuentes!C177+Fuentes!C227+Fuentes!C281+Fuentes!C333</f>
        <v>494312</v>
      </c>
      <c r="D126" s="30">
        <f>Fuentes!D177+Fuentes!D227+Fuentes!D281+Fuentes!D333</f>
        <v>594576</v>
      </c>
      <c r="E126" s="35">
        <f>Fuentes!E177+Fuentes!E227+Fuentes!E281+Fuentes!E333</f>
        <v>683447</v>
      </c>
      <c r="F126" s="28">
        <f>Fuentes!F177+Fuentes!F227+Fuentes!F281+Fuentes!F333</f>
        <v>595635</v>
      </c>
      <c r="G126" s="28">
        <f>Fuentes!G177+Fuentes!G227+Fuentes!G281+Fuentes!G333</f>
        <v>580961</v>
      </c>
      <c r="H126" s="28">
        <f>Fuentes!H177+Fuentes!H227+Fuentes!H281+Fuentes!H333</f>
        <v>167373</v>
      </c>
      <c r="I126" s="28">
        <f>Fuentes!I177+Fuentes!I227+Fuentes!I281+Fuentes!I333</f>
        <v>125045</v>
      </c>
      <c r="J126" s="28">
        <f>Fuentes!J177+Fuentes!J227+Fuentes!J281+Fuentes!J333</f>
        <v>129548</v>
      </c>
      <c r="K126" s="28">
        <f>Fuentes!K177+Fuentes!K227+Fuentes!K281+Fuentes!K333</f>
        <v>131507</v>
      </c>
      <c r="L126" s="28">
        <f>Fuentes!L177+Fuentes!L227+Fuentes!L281+Fuentes!L333</f>
        <v>114356</v>
      </c>
      <c r="M126" s="28">
        <f>Fuentes!M177+Fuentes!M227+Fuentes!M281+Fuentes!M333</f>
        <v>96734</v>
      </c>
      <c r="N126" s="36">
        <f>Fuentes!N177+Fuentes!N227+Fuentes!N281+Fuentes!N333</f>
        <v>78444</v>
      </c>
      <c r="O126" s="28">
        <f>Fuentes!O177+Fuentes!O227+Fuentes!O281+Fuentes!O333</f>
        <v>79314</v>
      </c>
      <c r="P126" s="28">
        <f>Fuentes!P177+Fuentes!P227+Fuentes!P281+Fuentes!P333</f>
        <v>85355</v>
      </c>
      <c r="Q126" s="28">
        <f>Fuentes!Q177+Fuentes!Q227+Fuentes!Q281+Fuentes!Q333</f>
        <v>93760</v>
      </c>
      <c r="R126" s="28">
        <f>Fuentes!R177+Fuentes!R227+Fuentes!R281+Fuentes!R333</f>
        <v>104710</v>
      </c>
      <c r="S126" s="28">
        <f>Fuentes!S177+Fuentes!S227+Fuentes!S281+Fuentes!S333</f>
        <v>113846</v>
      </c>
      <c r="T126" s="28">
        <f>Fuentes!T177+Fuentes!T227+Fuentes!T281+Fuentes!T333</f>
        <v>113802</v>
      </c>
      <c r="U126" s="28">
        <f>Fuentes!U177+Fuentes!U227+Fuentes!U281+Fuentes!U333</f>
        <v>106607</v>
      </c>
      <c r="V126" s="28">
        <f>Fuentes!V177+Fuentes!V227+Fuentes!V281+Fuentes!V333</f>
        <v>109027</v>
      </c>
    </row>
    <row r="127" spans="1:22" s="14" customFormat="1" ht="12.75" x14ac:dyDescent="0.2">
      <c r="A127" s="28" t="s">
        <v>3092</v>
      </c>
      <c r="B127" s="29" t="s">
        <v>3112</v>
      </c>
      <c r="C127" s="29">
        <f>Fuentes!C178+Fuentes!C228+Fuentes!C282+Fuentes!C334</f>
        <v>64111</v>
      </c>
      <c r="D127" s="30">
        <f>Fuentes!D178+Fuentes!D228+Fuentes!D282+Fuentes!D334</f>
        <v>72989</v>
      </c>
      <c r="E127" s="35">
        <f>Fuentes!E178+Fuentes!E228+Fuentes!E282+Fuentes!E334</f>
        <v>79693</v>
      </c>
      <c r="F127" s="28">
        <f>Fuentes!F178+Fuentes!F228+Fuentes!F282+Fuentes!F334</f>
        <v>87708</v>
      </c>
      <c r="G127" s="28">
        <f>Fuentes!G178+Fuentes!G228+Fuentes!G282+Fuentes!G334</f>
        <v>95781</v>
      </c>
      <c r="H127" s="36">
        <f>Fuentes!H178+Fuentes!H228+Fuentes!H282+Fuentes!H334</f>
        <v>105210</v>
      </c>
      <c r="I127" s="28">
        <f>Fuentes!I178+Fuentes!I228+Fuentes!I282+Fuentes!I334</f>
        <v>112313</v>
      </c>
      <c r="J127" s="28">
        <f>Fuentes!J178+Fuentes!J228+Fuentes!J282+Fuentes!J334</f>
        <v>118183</v>
      </c>
      <c r="K127" s="28">
        <f>Fuentes!K178+Fuentes!K228+Fuentes!K282+Fuentes!K334</f>
        <v>122970</v>
      </c>
      <c r="L127" s="28">
        <f>Fuentes!L178+Fuentes!L228+Fuentes!L282+Fuentes!L334</f>
        <v>138691</v>
      </c>
      <c r="M127" s="28">
        <f>Fuentes!M178+Fuentes!M228+Fuentes!M282+Fuentes!M334</f>
        <v>150759</v>
      </c>
      <c r="N127" s="28">
        <f>Fuentes!N178+Fuentes!N228+Fuentes!N282+Fuentes!N334</f>
        <v>167349</v>
      </c>
      <c r="O127" s="28">
        <f>Fuentes!O178+Fuentes!O228+Fuentes!O282+Fuentes!O334</f>
        <v>174129</v>
      </c>
      <c r="P127" s="28">
        <f>Fuentes!P178+Fuentes!P228+Fuentes!P282+Fuentes!P334</f>
        <v>191492</v>
      </c>
      <c r="Q127" s="28">
        <f>Fuentes!Q178+Fuentes!Q228+Fuentes!Q282+Fuentes!Q334</f>
        <v>215571</v>
      </c>
      <c r="R127" s="28">
        <f>Fuentes!R178+Fuentes!R228+Fuentes!R282+Fuentes!R334</f>
        <v>234214</v>
      </c>
      <c r="S127" s="28">
        <f>Fuentes!S178+Fuentes!S228+Fuentes!S282+Fuentes!S334</f>
        <v>237713</v>
      </c>
      <c r="T127" s="28">
        <f>Fuentes!T178+Fuentes!T228+Fuentes!T282+Fuentes!T334</f>
        <v>232052</v>
      </c>
      <c r="U127" s="28">
        <f>Fuentes!U178+Fuentes!U228+Fuentes!U282+Fuentes!U334</f>
        <v>235631</v>
      </c>
      <c r="V127" s="28">
        <f>Fuentes!V178+Fuentes!V228+Fuentes!V282+Fuentes!V334</f>
        <v>249338</v>
      </c>
    </row>
    <row r="128" spans="1:22" s="14" customFormat="1" ht="12.75" x14ac:dyDescent="0.2">
      <c r="A128" s="28" t="s">
        <v>3092</v>
      </c>
      <c r="B128" s="29" t="s">
        <v>3113</v>
      </c>
      <c r="C128" s="29">
        <f>Fuentes!C179+Fuentes!C229+Fuentes!C283+Fuentes!C335</f>
        <v>40608</v>
      </c>
      <c r="D128" s="30">
        <f>Fuentes!D179+Fuentes!D229+Fuentes!D283+Fuentes!D335</f>
        <v>53858</v>
      </c>
      <c r="E128" s="35">
        <f>Fuentes!E179+Fuentes!E229+Fuentes!E283+Fuentes!E335</f>
        <v>57722</v>
      </c>
      <c r="F128" s="28">
        <f>Fuentes!F179+Fuentes!F229+Fuentes!F283+Fuentes!F335</f>
        <v>58711</v>
      </c>
      <c r="G128" s="28">
        <f>Fuentes!G179+Fuentes!G229+Fuentes!G283+Fuentes!G335</f>
        <v>59003</v>
      </c>
      <c r="H128" s="28">
        <f>Fuentes!H179+Fuentes!H229+Fuentes!H283+Fuentes!H335</f>
        <v>55683</v>
      </c>
      <c r="I128" s="28">
        <f>Fuentes!I179+Fuentes!I229+Fuentes!I283+Fuentes!I335</f>
        <v>54807</v>
      </c>
      <c r="J128" s="28">
        <f>Fuentes!J179+Fuentes!J229+Fuentes!J283+Fuentes!J335</f>
        <v>58188</v>
      </c>
      <c r="K128" s="28">
        <f>Fuentes!K179+Fuentes!K229+Fuentes!K283+Fuentes!K335</f>
        <v>60900</v>
      </c>
      <c r="L128" s="28">
        <f>Fuentes!L179+Fuentes!L229+Fuentes!L283+Fuentes!L335</f>
        <v>62732</v>
      </c>
      <c r="M128" s="28">
        <f>Fuentes!M179+Fuentes!M229+Fuentes!M283+Fuentes!M335</f>
        <v>67360</v>
      </c>
      <c r="N128" s="36">
        <f>Fuentes!N179+Fuentes!N229+Fuentes!N283+Fuentes!N335</f>
        <v>73193</v>
      </c>
      <c r="O128" s="28">
        <f>Fuentes!O179+Fuentes!O229+Fuentes!O283+Fuentes!O335</f>
        <v>83766</v>
      </c>
      <c r="P128" s="28">
        <f>Fuentes!P179+Fuentes!P229+Fuentes!P283+Fuentes!P335</f>
        <v>103898</v>
      </c>
      <c r="Q128" s="28">
        <f>Fuentes!Q179+Fuentes!Q229+Fuentes!Q283+Fuentes!Q335</f>
        <v>105512</v>
      </c>
      <c r="R128" s="28">
        <f>Fuentes!R179+Fuentes!R229+Fuentes!R283+Fuentes!R335</f>
        <v>109397</v>
      </c>
      <c r="S128" s="28">
        <f>Fuentes!S179+Fuentes!S229+Fuentes!S283+Fuentes!S335</f>
        <v>107057</v>
      </c>
      <c r="T128" s="28">
        <f>Fuentes!T179+Fuentes!T229+Fuentes!T283+Fuentes!T335</f>
        <v>99123</v>
      </c>
      <c r="U128" s="28">
        <f>Fuentes!U179+Fuentes!U229+Fuentes!U283+Fuentes!U335</f>
        <v>101939</v>
      </c>
      <c r="V128" s="28">
        <f>Fuentes!V179+Fuentes!V229+Fuentes!V283+Fuentes!V335</f>
        <v>106812</v>
      </c>
    </row>
    <row r="129" spans="1:22" s="14" customFormat="1" ht="12.75" x14ac:dyDescent="0.2">
      <c r="A129" s="28" t="s">
        <v>3092</v>
      </c>
      <c r="B129" s="29" t="s">
        <v>3114</v>
      </c>
      <c r="C129" s="29">
        <f>Fuentes!C180+Fuentes!C230+Fuentes!C284+Fuentes!C336</f>
        <v>2189</v>
      </c>
      <c r="D129" s="30">
        <f>Fuentes!D180+Fuentes!D230+Fuentes!D284+Fuentes!D336</f>
        <v>3361</v>
      </c>
      <c r="E129" s="35">
        <f>Fuentes!E180+Fuentes!E230+Fuentes!E284+Fuentes!E336</f>
        <v>4101</v>
      </c>
      <c r="F129" s="28">
        <f>Fuentes!F180+Fuentes!F230+Fuentes!F284+Fuentes!F336</f>
        <v>4567</v>
      </c>
      <c r="G129" s="28">
        <f>Fuentes!G180+Fuentes!G230+Fuentes!G284+Fuentes!G336</f>
        <v>4479</v>
      </c>
      <c r="H129" s="36">
        <f>Fuentes!H180+Fuentes!H230+Fuentes!H284+Fuentes!H336</f>
        <v>4453</v>
      </c>
      <c r="I129" s="28">
        <f>Fuentes!I180+Fuentes!I230+Fuentes!I284+Fuentes!I336</f>
        <v>4084</v>
      </c>
      <c r="J129" s="28">
        <f>Fuentes!J180+Fuentes!J230+Fuentes!J284+Fuentes!J336</f>
        <v>4784</v>
      </c>
      <c r="K129" s="28">
        <f>Fuentes!K180+Fuentes!K230+Fuentes!K284+Fuentes!K336</f>
        <v>5021</v>
      </c>
      <c r="L129" s="28">
        <f>Fuentes!L180+Fuentes!L230+Fuentes!L284+Fuentes!L336</f>
        <v>5523</v>
      </c>
      <c r="M129" s="28">
        <f>Fuentes!M180+Fuentes!M230+Fuentes!M284+Fuentes!M336</f>
        <v>4910</v>
      </c>
      <c r="N129" s="28">
        <f>Fuentes!N180+Fuentes!N230+Fuentes!N284+Fuentes!N336</f>
        <v>4396</v>
      </c>
      <c r="O129" s="28">
        <f>Fuentes!O180+Fuentes!O230+Fuentes!O284+Fuentes!O336</f>
        <v>4099</v>
      </c>
      <c r="P129" s="28">
        <f>Fuentes!P180+Fuentes!P230+Fuentes!P284+Fuentes!P336</f>
        <v>4050</v>
      </c>
      <c r="Q129" s="28">
        <f>Fuentes!Q180+Fuentes!Q230+Fuentes!Q284+Fuentes!Q336</f>
        <v>4152</v>
      </c>
      <c r="R129" s="28">
        <f>Fuentes!R180+Fuentes!R230+Fuentes!R284+Fuentes!R336</f>
        <v>4130</v>
      </c>
      <c r="S129" s="28">
        <f>Fuentes!S180+Fuentes!S230+Fuentes!S284+Fuentes!S336</f>
        <v>4805</v>
      </c>
      <c r="T129" s="28">
        <f>Fuentes!T180+Fuentes!T230+Fuentes!T284+Fuentes!T336</f>
        <v>4703</v>
      </c>
      <c r="U129" s="28">
        <f>Fuentes!U180+Fuentes!U230+Fuentes!U284+Fuentes!U336</f>
        <v>5072</v>
      </c>
      <c r="V129" s="28">
        <f>Fuentes!V180+Fuentes!V230+Fuentes!V284+Fuentes!V336</f>
        <v>5680</v>
      </c>
    </row>
    <row r="130" spans="1:22" s="14" customFormat="1" ht="12.75" x14ac:dyDescent="0.2">
      <c r="A130" s="28" t="s">
        <v>3092</v>
      </c>
      <c r="B130" s="29" t="s">
        <v>3115</v>
      </c>
      <c r="C130" s="29">
        <f>SUM(C131:C133)</f>
        <v>283628</v>
      </c>
      <c r="D130" s="30">
        <f t="shared" ref="D130:V130" si="10">SUM(D131:D133)</f>
        <v>299822</v>
      </c>
      <c r="E130" s="35">
        <f t="shared" si="10"/>
        <v>311523</v>
      </c>
      <c r="F130" s="28">
        <f t="shared" si="10"/>
        <v>339804</v>
      </c>
      <c r="G130" s="28">
        <f t="shared" si="10"/>
        <v>394168</v>
      </c>
      <c r="H130" s="28">
        <f t="shared" si="10"/>
        <v>393068</v>
      </c>
      <c r="I130" s="28">
        <f t="shared" si="10"/>
        <v>388354</v>
      </c>
      <c r="J130" s="28">
        <f t="shared" si="10"/>
        <v>402907</v>
      </c>
      <c r="K130" s="28">
        <f t="shared" si="10"/>
        <v>462832</v>
      </c>
      <c r="L130" s="28">
        <f t="shared" si="10"/>
        <v>583461</v>
      </c>
      <c r="M130" s="28">
        <f t="shared" si="10"/>
        <v>608700</v>
      </c>
      <c r="N130" s="36">
        <f t="shared" si="10"/>
        <v>660886</v>
      </c>
      <c r="O130" s="28">
        <f t="shared" si="10"/>
        <v>484041</v>
      </c>
      <c r="P130" s="28">
        <f t="shared" si="10"/>
        <v>470195</v>
      </c>
      <c r="Q130" s="28">
        <f t="shared" si="10"/>
        <v>465388</v>
      </c>
      <c r="R130" s="28">
        <f t="shared" si="10"/>
        <v>438936</v>
      </c>
      <c r="S130" s="28">
        <f t="shared" si="10"/>
        <v>419210</v>
      </c>
      <c r="T130" s="28">
        <f t="shared" si="10"/>
        <v>413442</v>
      </c>
      <c r="U130" s="28">
        <f t="shared" si="10"/>
        <v>438092</v>
      </c>
      <c r="V130" s="28">
        <f t="shared" si="10"/>
        <v>507149</v>
      </c>
    </row>
    <row r="131" spans="1:22" s="14" customFormat="1" ht="12.75" x14ac:dyDescent="0.2">
      <c r="A131" s="28" t="s">
        <v>3092</v>
      </c>
      <c r="B131" s="29" t="s">
        <v>3116</v>
      </c>
      <c r="C131" s="29">
        <f>Fuentes!C182+Fuentes!C232+Fuentes!C286+Fuentes!C338</f>
        <v>17256</v>
      </c>
      <c r="D131" s="30">
        <f>Fuentes!D182+Fuentes!D232+Fuentes!D286+Fuentes!D338</f>
        <v>18281</v>
      </c>
      <c r="E131" s="35">
        <f>Fuentes!E182+Fuentes!E232+Fuentes!E286+Fuentes!E338</f>
        <v>19208</v>
      </c>
      <c r="F131" s="28">
        <f>Fuentes!F182+Fuentes!F232+Fuentes!F286+Fuentes!F338</f>
        <v>19719</v>
      </c>
      <c r="G131" s="28">
        <f>Fuentes!G182+Fuentes!G232+Fuentes!G286+Fuentes!G338</f>
        <v>20546</v>
      </c>
      <c r="H131" s="36">
        <f>Fuentes!H182+Fuentes!H232+Fuentes!H286+Fuentes!H338</f>
        <v>21527</v>
      </c>
      <c r="I131" s="28">
        <f>Fuentes!I182+Fuentes!I232+Fuentes!I286+Fuentes!I338</f>
        <v>22431</v>
      </c>
      <c r="J131" s="28">
        <f>Fuentes!J182+Fuentes!J232+Fuentes!J286+Fuentes!J338</f>
        <v>21921</v>
      </c>
      <c r="K131" s="28">
        <f>Fuentes!K182+Fuentes!K232+Fuentes!K286+Fuentes!K338</f>
        <v>20773</v>
      </c>
      <c r="L131" s="28">
        <f>Fuentes!L182+Fuentes!L232+Fuentes!L286+Fuentes!L338</f>
        <v>22968</v>
      </c>
      <c r="M131" s="28">
        <f>Fuentes!M182+Fuentes!M232+Fuentes!M286+Fuentes!M338</f>
        <v>27676</v>
      </c>
      <c r="N131" s="28">
        <f>Fuentes!N182+Fuentes!N232+Fuentes!N286+Fuentes!N338</f>
        <v>32093</v>
      </c>
      <c r="O131" s="28">
        <f>Fuentes!O182+Fuentes!O232+Fuentes!O286+Fuentes!O338</f>
        <v>37884</v>
      </c>
      <c r="P131" s="28">
        <f>Fuentes!P182+Fuentes!P232+Fuentes!P286+Fuentes!P338</f>
        <v>41861</v>
      </c>
      <c r="Q131" s="28">
        <f>Fuentes!Q182+Fuentes!Q232+Fuentes!Q286+Fuentes!Q338</f>
        <v>46098</v>
      </c>
      <c r="R131" s="28">
        <f>Fuentes!R182+Fuentes!R232+Fuentes!R286+Fuentes!R338</f>
        <v>49705</v>
      </c>
      <c r="S131" s="28">
        <f>Fuentes!S182+Fuentes!S232+Fuentes!S286+Fuentes!S338</f>
        <v>51700</v>
      </c>
      <c r="T131" s="28">
        <f>Fuentes!T182+Fuentes!T232+Fuentes!T286+Fuentes!T338</f>
        <v>54376</v>
      </c>
      <c r="U131" s="28">
        <f>Fuentes!U182+Fuentes!U232+Fuentes!U286+Fuentes!U338</f>
        <v>54921</v>
      </c>
      <c r="V131" s="28">
        <f>Fuentes!V182+Fuentes!V232+Fuentes!V286+Fuentes!V338</f>
        <v>55553</v>
      </c>
    </row>
    <row r="132" spans="1:22" s="14" customFormat="1" ht="12.75" x14ac:dyDescent="0.2">
      <c r="A132" s="28" t="s">
        <v>3092</v>
      </c>
      <c r="B132" s="29" t="s">
        <v>3117</v>
      </c>
      <c r="C132" s="29">
        <f>Fuentes!C183+Fuentes!C233+Fuentes!C287+Fuentes!C339</f>
        <v>82809</v>
      </c>
      <c r="D132" s="30">
        <f>Fuentes!D183+Fuentes!D233+Fuentes!D287+Fuentes!D339</f>
        <v>91947</v>
      </c>
      <c r="E132" s="35">
        <f>Fuentes!E183+Fuentes!E233+Fuentes!E287+Fuentes!E339</f>
        <v>98219</v>
      </c>
      <c r="F132" s="28">
        <f>Fuentes!F183+Fuentes!F233+Fuentes!F287+Fuentes!F339</f>
        <v>105094</v>
      </c>
      <c r="G132" s="28">
        <f>Fuentes!G183+Fuentes!G233+Fuentes!G287+Fuentes!G339</f>
        <v>134814</v>
      </c>
      <c r="H132" s="28">
        <f>Fuentes!H183+Fuentes!H233+Fuentes!H287+Fuentes!H339</f>
        <v>144757</v>
      </c>
      <c r="I132" s="28">
        <f>Fuentes!I183+Fuentes!I233+Fuentes!I287+Fuentes!I339</f>
        <v>148027</v>
      </c>
      <c r="J132" s="28">
        <f>Fuentes!J183+Fuentes!J233+Fuentes!J287+Fuentes!J339</f>
        <v>155415</v>
      </c>
      <c r="K132" s="28">
        <f>Fuentes!K183+Fuentes!K233+Fuentes!K287+Fuentes!K339</f>
        <v>178378</v>
      </c>
      <c r="L132" s="28">
        <f>Fuentes!L183+Fuentes!L233+Fuentes!L287+Fuentes!L339</f>
        <v>222637</v>
      </c>
      <c r="M132" s="28">
        <f>Fuentes!M183+Fuentes!M233+Fuentes!M287+Fuentes!M339</f>
        <v>228553</v>
      </c>
      <c r="N132" s="36">
        <f>Fuentes!N183+Fuentes!N233+Fuentes!N287+Fuentes!N339</f>
        <v>264733</v>
      </c>
      <c r="O132" s="28">
        <f>Fuentes!O183+Fuentes!O233+Fuentes!O287+Fuentes!O339</f>
        <v>190393</v>
      </c>
      <c r="P132" s="28">
        <f>Fuentes!P183+Fuentes!P233+Fuentes!P287+Fuentes!P339</f>
        <v>177281</v>
      </c>
      <c r="Q132" s="28">
        <f>Fuentes!Q183+Fuentes!Q233+Fuentes!Q287+Fuentes!Q339</f>
        <v>163384</v>
      </c>
      <c r="R132" s="28">
        <f>Fuentes!R183+Fuentes!R233+Fuentes!R287+Fuentes!R339</f>
        <v>154735</v>
      </c>
      <c r="S132" s="28">
        <f>Fuentes!S183+Fuentes!S233+Fuentes!S287+Fuentes!S339</f>
        <v>142556</v>
      </c>
      <c r="T132" s="28">
        <f>Fuentes!T183+Fuentes!T233+Fuentes!T287+Fuentes!T339</f>
        <v>128186</v>
      </c>
      <c r="U132" s="28">
        <f>Fuentes!U183+Fuentes!U233+Fuentes!U287+Fuentes!U339</f>
        <v>130984</v>
      </c>
      <c r="V132" s="28">
        <f>Fuentes!V183+Fuentes!V233+Fuentes!V287+Fuentes!V339</f>
        <v>161662</v>
      </c>
    </row>
    <row r="133" spans="1:22" s="14" customFormat="1" ht="12.75" x14ac:dyDescent="0.2">
      <c r="A133" s="28" t="s">
        <v>3092</v>
      </c>
      <c r="B133" s="29" t="s">
        <v>3118</v>
      </c>
      <c r="C133" s="29">
        <f>Fuentes!C184+Fuentes!C234+Fuentes!C288+Fuentes!C340</f>
        <v>183563</v>
      </c>
      <c r="D133" s="30">
        <f>Fuentes!D184+Fuentes!D234+Fuentes!D288+Fuentes!D340</f>
        <v>189594</v>
      </c>
      <c r="E133" s="35">
        <f>Fuentes!E184+Fuentes!E234+Fuentes!E288+Fuentes!E340</f>
        <v>194096</v>
      </c>
      <c r="F133" s="28">
        <f>Fuentes!F184+Fuentes!F234+Fuentes!F288+Fuentes!F340</f>
        <v>214991</v>
      </c>
      <c r="G133" s="28">
        <f>Fuentes!G184+Fuentes!G234+Fuentes!G288+Fuentes!G340</f>
        <v>238808</v>
      </c>
      <c r="H133" s="36">
        <f>Fuentes!H184+Fuentes!H234+Fuentes!H288+Fuentes!H340</f>
        <v>226784</v>
      </c>
      <c r="I133" s="28">
        <f>Fuentes!I184+Fuentes!I234+Fuentes!I288+Fuentes!I340</f>
        <v>217896</v>
      </c>
      <c r="J133" s="28">
        <f>Fuentes!J184+Fuentes!J234+Fuentes!J288+Fuentes!J340</f>
        <v>225571</v>
      </c>
      <c r="K133" s="28">
        <f>Fuentes!K184+Fuentes!K234+Fuentes!K288+Fuentes!K340</f>
        <v>263681</v>
      </c>
      <c r="L133" s="28">
        <f>Fuentes!L184+Fuentes!L234+Fuentes!L288+Fuentes!L340</f>
        <v>337856</v>
      </c>
      <c r="M133" s="28">
        <f>Fuentes!M184+Fuentes!M234+Fuentes!M288+Fuentes!M340</f>
        <v>352471</v>
      </c>
      <c r="N133" s="28">
        <f>Fuentes!N184+Fuentes!N234+Fuentes!N288+Fuentes!N340</f>
        <v>364060</v>
      </c>
      <c r="O133" s="28">
        <f>Fuentes!O184+Fuentes!O234+Fuentes!O288+Fuentes!O340</f>
        <v>255764</v>
      </c>
      <c r="P133" s="28">
        <f>Fuentes!P184+Fuentes!P234+Fuentes!P288+Fuentes!P340</f>
        <v>251053</v>
      </c>
      <c r="Q133" s="28">
        <f>Fuentes!Q184+Fuentes!Q234+Fuentes!Q288+Fuentes!Q340</f>
        <v>255906</v>
      </c>
      <c r="R133" s="28">
        <f>Fuentes!R184+Fuentes!R234+Fuentes!R288+Fuentes!R340</f>
        <v>234496</v>
      </c>
      <c r="S133" s="28">
        <f>Fuentes!S184+Fuentes!S234+Fuentes!S288+Fuentes!S340</f>
        <v>224954</v>
      </c>
      <c r="T133" s="28">
        <f>Fuentes!T184+Fuentes!T234+Fuentes!T288+Fuentes!T340</f>
        <v>230880</v>
      </c>
      <c r="U133" s="28">
        <f>Fuentes!U184+Fuentes!U234+Fuentes!U288+Fuentes!U340</f>
        <v>252187</v>
      </c>
      <c r="V133" s="28">
        <f>Fuentes!V184+Fuentes!V234+Fuentes!V288+Fuentes!V340</f>
        <v>289934</v>
      </c>
    </row>
    <row r="134" spans="1:22" s="14" customFormat="1" ht="12.75" x14ac:dyDescent="0.2">
      <c r="A134" s="28" t="s">
        <v>3092</v>
      </c>
      <c r="B134" s="29" t="s">
        <v>3119</v>
      </c>
      <c r="C134" s="29">
        <f>SUM(C135:C136)</f>
        <v>26911</v>
      </c>
      <c r="D134" s="30">
        <f t="shared" ref="D134:V134" si="11">SUM(D135:D136)</f>
        <v>29251</v>
      </c>
      <c r="E134" s="35">
        <f t="shared" si="11"/>
        <v>32412</v>
      </c>
      <c r="F134" s="28">
        <f t="shared" si="11"/>
        <v>32459</v>
      </c>
      <c r="G134" s="28">
        <f t="shared" si="11"/>
        <v>33366</v>
      </c>
      <c r="H134" s="28">
        <f t="shared" si="11"/>
        <v>28416</v>
      </c>
      <c r="I134" s="28">
        <f t="shared" si="11"/>
        <v>27844</v>
      </c>
      <c r="J134" s="28">
        <f t="shared" si="11"/>
        <v>26863</v>
      </c>
      <c r="K134" s="28">
        <f t="shared" si="11"/>
        <v>30619</v>
      </c>
      <c r="L134" s="28">
        <f t="shared" si="11"/>
        <v>37594</v>
      </c>
      <c r="M134" s="28">
        <f t="shared" si="11"/>
        <v>42659</v>
      </c>
      <c r="N134" s="36">
        <f t="shared" si="11"/>
        <v>45170</v>
      </c>
      <c r="O134" s="28">
        <f t="shared" si="11"/>
        <v>35870</v>
      </c>
      <c r="P134" s="28">
        <f t="shared" si="11"/>
        <v>34859</v>
      </c>
      <c r="Q134" s="28">
        <f t="shared" si="11"/>
        <v>32855</v>
      </c>
      <c r="R134" s="28">
        <f t="shared" si="11"/>
        <v>31546</v>
      </c>
      <c r="S134" s="28">
        <f t="shared" si="11"/>
        <v>29968</v>
      </c>
      <c r="T134" s="28">
        <f t="shared" si="11"/>
        <v>28155</v>
      </c>
      <c r="U134" s="28">
        <f t="shared" si="11"/>
        <v>27051</v>
      </c>
      <c r="V134" s="28">
        <f t="shared" si="11"/>
        <v>27384</v>
      </c>
    </row>
    <row r="135" spans="1:22" s="14" customFormat="1" ht="12.75" x14ac:dyDescent="0.2">
      <c r="A135" s="28" t="s">
        <v>3092</v>
      </c>
      <c r="B135" s="29" t="s">
        <v>3120</v>
      </c>
      <c r="C135" s="29">
        <f>Fuentes!C186+Fuentes!C236+Fuentes!C290+Fuentes!C342</f>
        <v>13909</v>
      </c>
      <c r="D135" s="30">
        <f>Fuentes!D186+Fuentes!D236+Fuentes!D290+Fuentes!D342</f>
        <v>14752</v>
      </c>
      <c r="E135" s="35">
        <f>Fuentes!E186+Fuentes!E236+Fuentes!E290+Fuentes!E342</f>
        <v>17118</v>
      </c>
      <c r="F135" s="28">
        <f>Fuentes!F186+Fuentes!F236+Fuentes!F290+Fuentes!F342</f>
        <v>17813</v>
      </c>
      <c r="G135" s="28">
        <f>Fuentes!G186+Fuentes!G236+Fuentes!G290+Fuentes!G342</f>
        <v>18879</v>
      </c>
      <c r="H135" s="36">
        <f>Fuentes!H186+Fuentes!H236+Fuentes!H290+Fuentes!H342</f>
        <v>16656</v>
      </c>
      <c r="I135" s="28">
        <f>Fuentes!I186+Fuentes!I236+Fuentes!I290+Fuentes!I342</f>
        <v>16415</v>
      </c>
      <c r="J135" s="28">
        <f>Fuentes!J186+Fuentes!J236+Fuentes!J290+Fuentes!J342</f>
        <v>15589</v>
      </c>
      <c r="K135" s="28">
        <f>Fuentes!K186+Fuentes!K236+Fuentes!K290+Fuentes!K342</f>
        <v>16951</v>
      </c>
      <c r="L135" s="28">
        <f>Fuentes!L186+Fuentes!L236+Fuentes!L290+Fuentes!L342</f>
        <v>20105</v>
      </c>
      <c r="M135" s="28">
        <f>Fuentes!M186+Fuentes!M236+Fuentes!M290+Fuentes!M342</f>
        <v>22781</v>
      </c>
      <c r="N135" s="28">
        <f>Fuentes!N186+Fuentes!N236+Fuentes!N290+Fuentes!N342</f>
        <v>24826</v>
      </c>
      <c r="O135" s="28">
        <f>Fuentes!O186+Fuentes!O236+Fuentes!O290+Fuentes!O342</f>
        <v>21898</v>
      </c>
      <c r="P135" s="28">
        <f>Fuentes!P186+Fuentes!P236+Fuentes!P290+Fuentes!P342</f>
        <v>21914</v>
      </c>
      <c r="Q135" s="28">
        <f>Fuentes!Q186+Fuentes!Q236+Fuentes!Q290+Fuentes!Q342</f>
        <v>21222</v>
      </c>
      <c r="R135" s="28">
        <f>Fuentes!R186+Fuentes!R236+Fuentes!R290+Fuentes!R342</f>
        <v>20855</v>
      </c>
      <c r="S135" s="28">
        <f>Fuentes!S186+Fuentes!S236+Fuentes!S290+Fuentes!S342</f>
        <v>19275</v>
      </c>
      <c r="T135" s="28">
        <f>Fuentes!T186+Fuentes!T236+Fuentes!T290+Fuentes!T342</f>
        <v>17797</v>
      </c>
      <c r="U135" s="28">
        <f>Fuentes!U186+Fuentes!U236+Fuentes!U290+Fuentes!U342</f>
        <v>16442</v>
      </c>
      <c r="V135" s="28">
        <f>Fuentes!V186+Fuentes!V236+Fuentes!V290+Fuentes!V342</f>
        <v>15740</v>
      </c>
    </row>
    <row r="136" spans="1:22" s="14" customFormat="1" ht="12.75" x14ac:dyDescent="0.2">
      <c r="A136" s="28" t="s">
        <v>3092</v>
      </c>
      <c r="B136" s="29" t="s">
        <v>3121</v>
      </c>
      <c r="C136" s="29">
        <f>Fuentes!C187+Fuentes!C237+Fuentes!C291+Fuentes!C343</f>
        <v>13002</v>
      </c>
      <c r="D136" s="30">
        <f>Fuentes!D187+Fuentes!D237+Fuentes!D291+Fuentes!D343</f>
        <v>14499</v>
      </c>
      <c r="E136" s="35">
        <f>Fuentes!E187+Fuentes!E237+Fuentes!E291+Fuentes!E343</f>
        <v>15294</v>
      </c>
      <c r="F136" s="28">
        <f>Fuentes!F187+Fuentes!F237+Fuentes!F291+Fuentes!F343</f>
        <v>14646</v>
      </c>
      <c r="G136" s="28">
        <f>Fuentes!G187+Fuentes!G237+Fuentes!G291+Fuentes!G343</f>
        <v>14487</v>
      </c>
      <c r="H136" s="28">
        <f>Fuentes!H187+Fuentes!H237+Fuentes!H291+Fuentes!H343</f>
        <v>11760</v>
      </c>
      <c r="I136" s="28">
        <f>Fuentes!I187+Fuentes!I237+Fuentes!I291+Fuentes!I343</f>
        <v>11429</v>
      </c>
      <c r="J136" s="28">
        <f>Fuentes!J187+Fuentes!J237+Fuentes!J291+Fuentes!J343</f>
        <v>11274</v>
      </c>
      <c r="K136" s="28">
        <f>Fuentes!K187+Fuentes!K237+Fuentes!K291+Fuentes!K343</f>
        <v>13668</v>
      </c>
      <c r="L136" s="28">
        <f>Fuentes!L187+Fuentes!L237+Fuentes!L291+Fuentes!L343</f>
        <v>17489</v>
      </c>
      <c r="M136" s="28">
        <f>Fuentes!M187+Fuentes!M237+Fuentes!M291+Fuentes!M343</f>
        <v>19878</v>
      </c>
      <c r="N136" s="36">
        <f>Fuentes!N187+Fuentes!N237+Fuentes!N291+Fuentes!N343</f>
        <v>20344</v>
      </c>
      <c r="O136" s="28">
        <f>Fuentes!O187+Fuentes!O237+Fuentes!O291+Fuentes!O343</f>
        <v>13972</v>
      </c>
      <c r="P136" s="28">
        <f>Fuentes!P187+Fuentes!P237+Fuentes!P291+Fuentes!P343</f>
        <v>12945</v>
      </c>
      <c r="Q136" s="28">
        <f>Fuentes!Q187+Fuentes!Q237+Fuentes!Q291+Fuentes!Q343</f>
        <v>11633</v>
      </c>
      <c r="R136" s="28">
        <f>Fuentes!R187+Fuentes!R237+Fuentes!R291+Fuentes!R343</f>
        <v>10691</v>
      </c>
      <c r="S136" s="28">
        <f>Fuentes!S187+Fuentes!S237+Fuentes!S291+Fuentes!S343</f>
        <v>10693</v>
      </c>
      <c r="T136" s="28">
        <f>Fuentes!T187+Fuentes!T237+Fuentes!T291+Fuentes!T343</f>
        <v>10358</v>
      </c>
      <c r="U136" s="28">
        <f>Fuentes!U187+Fuentes!U237+Fuentes!U291+Fuentes!U343</f>
        <v>10609</v>
      </c>
      <c r="V136" s="28">
        <f>Fuentes!V187+Fuentes!V237+Fuentes!V291+Fuentes!V343</f>
        <v>11644</v>
      </c>
    </row>
    <row r="137" spans="1:22" s="14" customFormat="1" ht="12.75" x14ac:dyDescent="0.2">
      <c r="A137" s="28" t="s">
        <v>3092</v>
      </c>
      <c r="B137" s="29" t="s">
        <v>3122</v>
      </c>
      <c r="C137" s="29">
        <f>Fuentes!C189+Fuentes!C239+Fuentes!C293</f>
        <v>12410</v>
      </c>
      <c r="D137" s="30">
        <f>Fuentes!D189+Fuentes!D239+Fuentes!D293</f>
        <v>14363</v>
      </c>
      <c r="E137" s="35">
        <f>Fuentes!E189+Fuentes!E239+Fuentes!E293</f>
        <v>15545</v>
      </c>
      <c r="F137" s="28">
        <f>Fuentes!F189+Fuentes!F239+Fuentes!F293</f>
        <v>17497</v>
      </c>
      <c r="G137" s="28">
        <f>Fuentes!G189+Fuentes!G239+Fuentes!G293</f>
        <v>16501</v>
      </c>
      <c r="H137" s="36">
        <f>Fuentes!H189+Fuentes!H239+Fuentes!H293</f>
        <v>19369</v>
      </c>
      <c r="I137" s="28">
        <f>Fuentes!I189+Fuentes!I239+Fuentes!I293</f>
        <v>19045</v>
      </c>
      <c r="J137" s="28">
        <f>Fuentes!J189+Fuentes!J239+Fuentes!J293</f>
        <v>18882</v>
      </c>
      <c r="K137" s="28">
        <f>Fuentes!K189+Fuentes!K239+Fuentes!K293</f>
        <v>19746</v>
      </c>
      <c r="L137" s="28">
        <f>Fuentes!L189+Fuentes!L239+Fuentes!L293</f>
        <v>21512</v>
      </c>
      <c r="M137" s="28">
        <f>Fuentes!M189+Fuentes!M239+Fuentes!M293</f>
        <v>20832</v>
      </c>
      <c r="N137" s="28">
        <f>Fuentes!N189+Fuentes!N239+Fuentes!N293</f>
        <v>17834</v>
      </c>
      <c r="O137" s="28">
        <f>Fuentes!O189+Fuentes!O239+Fuentes!O293</f>
        <v>18561</v>
      </c>
      <c r="P137" s="28">
        <f>Fuentes!P189+Fuentes!P239+Fuentes!P293</f>
        <v>17054</v>
      </c>
      <c r="Q137" s="28">
        <f>Fuentes!Q189+Fuentes!Q239+Fuentes!Q293</f>
        <v>20508</v>
      </c>
      <c r="R137" s="28">
        <f>Fuentes!R189+Fuentes!R239+Fuentes!R293</f>
        <v>19655</v>
      </c>
      <c r="S137" s="28">
        <f>Fuentes!S189+Fuentes!S239+Fuentes!S293</f>
        <v>19134</v>
      </c>
      <c r="T137" s="28">
        <f>Fuentes!T189+Fuentes!T239+Fuentes!T293</f>
        <v>21399</v>
      </c>
      <c r="U137" s="28">
        <f>Fuentes!U189+Fuentes!U239+Fuentes!U293</f>
        <v>22274</v>
      </c>
      <c r="V137" s="28">
        <f>Fuentes!V189+Fuentes!V239+Fuentes!V293</f>
        <v>26438</v>
      </c>
    </row>
    <row r="138" spans="1:22" s="14" customFormat="1" ht="12.75" x14ac:dyDescent="0.2">
      <c r="A138" s="28" t="s">
        <v>3092</v>
      </c>
      <c r="B138" s="29" t="s">
        <v>3123</v>
      </c>
      <c r="C138" s="29">
        <f>SUM(C139:C149)</f>
        <v>23565</v>
      </c>
      <c r="D138" s="30">
        <f t="shared" ref="D138:V138" si="12">SUM(D139:D149)</f>
        <v>25851</v>
      </c>
      <c r="E138" s="35">
        <f t="shared" si="12"/>
        <v>25842</v>
      </c>
      <c r="F138" s="28">
        <f t="shared" si="12"/>
        <v>25381</v>
      </c>
      <c r="G138" s="28">
        <f t="shared" si="12"/>
        <v>26505</v>
      </c>
      <c r="H138" s="28">
        <f t="shared" si="12"/>
        <v>24810</v>
      </c>
      <c r="I138" s="28">
        <f t="shared" si="12"/>
        <v>23668</v>
      </c>
      <c r="J138" s="28">
        <f t="shared" si="12"/>
        <v>22081</v>
      </c>
      <c r="K138" s="28">
        <f t="shared" si="12"/>
        <v>20781</v>
      </c>
      <c r="L138" s="28">
        <f t="shared" si="12"/>
        <v>21200</v>
      </c>
      <c r="M138" s="28">
        <f t="shared" si="12"/>
        <v>18480</v>
      </c>
      <c r="N138" s="36">
        <f t="shared" si="12"/>
        <v>15749</v>
      </c>
      <c r="O138" s="28">
        <f t="shared" si="12"/>
        <v>20484</v>
      </c>
      <c r="P138" s="28">
        <f t="shared" si="12"/>
        <v>22421</v>
      </c>
      <c r="Q138" s="28">
        <f t="shared" si="12"/>
        <v>23949</v>
      </c>
      <c r="R138" s="28">
        <f t="shared" si="12"/>
        <v>24498</v>
      </c>
      <c r="S138" s="28">
        <f t="shared" si="12"/>
        <v>25393</v>
      </c>
      <c r="T138" s="28">
        <f t="shared" si="12"/>
        <v>28028</v>
      </c>
      <c r="U138" s="28">
        <f t="shared" si="12"/>
        <v>26156</v>
      </c>
      <c r="V138" s="28">
        <f t="shared" si="12"/>
        <v>26866</v>
      </c>
    </row>
    <row r="139" spans="1:22" s="14" customFormat="1" ht="12.75" x14ac:dyDescent="0.2">
      <c r="A139" s="28" t="s">
        <v>3092</v>
      </c>
      <c r="B139" s="29" t="s">
        <v>3124</v>
      </c>
      <c r="C139" s="29">
        <f>Fuentes!C191+Fuentes!C241+Fuentes!C295</f>
        <v>0</v>
      </c>
      <c r="D139" s="30">
        <f>Fuentes!D191+Fuentes!D241+Fuentes!D295</f>
        <v>0</v>
      </c>
      <c r="E139" s="35">
        <f>Fuentes!E191+Fuentes!E241+Fuentes!E295</f>
        <v>0</v>
      </c>
      <c r="F139" s="28">
        <f>Fuentes!F191+Fuentes!F241+Fuentes!F295</f>
        <v>0</v>
      </c>
      <c r="G139" s="28">
        <f>Fuentes!G191+Fuentes!G241+Fuentes!G295</f>
        <v>0</v>
      </c>
      <c r="H139" s="36">
        <f>Fuentes!H191+Fuentes!H241+Fuentes!H295</f>
        <v>0</v>
      </c>
      <c r="I139" s="28">
        <f>Fuentes!I191+Fuentes!I241+Fuentes!I295</f>
        <v>0</v>
      </c>
      <c r="J139" s="28">
        <f>Fuentes!J191+Fuentes!J241+Fuentes!J295</f>
        <v>0</v>
      </c>
      <c r="K139" s="28">
        <f>Fuentes!K191+Fuentes!K241+Fuentes!K295</f>
        <v>0</v>
      </c>
      <c r="L139" s="28">
        <f>Fuentes!L191+Fuentes!L241+Fuentes!L295</f>
        <v>0</v>
      </c>
      <c r="M139" s="28">
        <f>Fuentes!M191+Fuentes!M241+Fuentes!M295</f>
        <v>0</v>
      </c>
      <c r="N139" s="28">
        <f>Fuentes!N191+Fuentes!N241+Fuentes!N295</f>
        <v>0</v>
      </c>
      <c r="O139" s="28">
        <f>Fuentes!O191+Fuentes!O241+Fuentes!O295</f>
        <v>3623</v>
      </c>
      <c r="P139" s="28">
        <f>Fuentes!P191+Fuentes!P241+Fuentes!P295</f>
        <v>4907</v>
      </c>
      <c r="Q139" s="28">
        <f>Fuentes!Q191+Fuentes!Q241+Fuentes!Q295</f>
        <v>4607</v>
      </c>
      <c r="R139" s="28">
        <f>Fuentes!R191+Fuentes!R241+Fuentes!R295</f>
        <v>4207</v>
      </c>
      <c r="S139" s="28">
        <f>Fuentes!S191+Fuentes!S241+Fuentes!S295</f>
        <v>4450</v>
      </c>
      <c r="T139" s="28">
        <f>Fuentes!T191+Fuentes!T241+Fuentes!T295</f>
        <v>4126</v>
      </c>
      <c r="U139" s="28">
        <f>Fuentes!U191+Fuentes!U241+Fuentes!U295</f>
        <v>4966</v>
      </c>
      <c r="V139" s="28">
        <f>Fuentes!V191+Fuentes!V241+Fuentes!V295</f>
        <v>5538</v>
      </c>
    </row>
    <row r="140" spans="1:22" s="14" customFormat="1" ht="12.75" x14ac:dyDescent="0.2">
      <c r="A140" s="28" t="s">
        <v>3092</v>
      </c>
      <c r="B140" s="29" t="s">
        <v>3125</v>
      </c>
      <c r="C140" s="29">
        <f>Fuentes!C192+Fuentes!C242+Fuentes!C296</f>
        <v>0</v>
      </c>
      <c r="D140" s="30">
        <f>Fuentes!D192+Fuentes!D242+Fuentes!D296</f>
        <v>0</v>
      </c>
      <c r="E140" s="35">
        <f>Fuentes!E192+Fuentes!E242+Fuentes!E296</f>
        <v>0</v>
      </c>
      <c r="F140" s="28">
        <f>Fuentes!F192+Fuentes!F242+Fuentes!F296</f>
        <v>0</v>
      </c>
      <c r="G140" s="28">
        <f>Fuentes!G192+Fuentes!G242+Fuentes!G296</f>
        <v>0</v>
      </c>
      <c r="H140" s="28">
        <f>Fuentes!H192+Fuentes!H242+Fuentes!H296</f>
        <v>0</v>
      </c>
      <c r="I140" s="28">
        <f>Fuentes!I192+Fuentes!I242+Fuentes!I296</f>
        <v>0</v>
      </c>
      <c r="J140" s="28">
        <f>Fuentes!J192+Fuentes!J242+Fuentes!J296</f>
        <v>0</v>
      </c>
      <c r="K140" s="28">
        <f>Fuentes!K192+Fuentes!K242+Fuentes!K296</f>
        <v>0</v>
      </c>
      <c r="L140" s="28">
        <f>Fuentes!L192+Fuentes!L242+Fuentes!L296</f>
        <v>0</v>
      </c>
      <c r="M140" s="28">
        <f>Fuentes!M192+Fuentes!M242+Fuentes!M296</f>
        <v>0</v>
      </c>
      <c r="N140" s="36">
        <f>Fuentes!N192+Fuentes!N242+Fuentes!N296</f>
        <v>0</v>
      </c>
      <c r="O140" s="28">
        <f>Fuentes!O192+Fuentes!O242+Fuentes!O296</f>
        <v>496</v>
      </c>
      <c r="P140" s="28">
        <f>Fuentes!P192+Fuentes!P242+Fuentes!P296</f>
        <v>557</v>
      </c>
      <c r="Q140" s="28">
        <f>Fuentes!Q192+Fuentes!Q242+Fuentes!Q296</f>
        <v>598</v>
      </c>
      <c r="R140" s="28">
        <f>Fuentes!R192+Fuentes!R242+Fuentes!R296</f>
        <v>481</v>
      </c>
      <c r="S140" s="28">
        <f>Fuentes!S192+Fuentes!S242+Fuentes!S296</f>
        <v>510</v>
      </c>
      <c r="T140" s="28">
        <f>Fuentes!T192+Fuentes!T242+Fuentes!T296</f>
        <v>436</v>
      </c>
      <c r="U140" s="28">
        <f>Fuentes!U192+Fuentes!U242+Fuentes!U296</f>
        <v>360</v>
      </c>
      <c r="V140" s="28">
        <f>Fuentes!V192+Fuentes!V242+Fuentes!V296</f>
        <v>394</v>
      </c>
    </row>
    <row r="141" spans="1:22" s="14" customFormat="1" ht="12.75" x14ac:dyDescent="0.2">
      <c r="A141" s="28" t="s">
        <v>3092</v>
      </c>
      <c r="B141" s="29" t="s">
        <v>3126</v>
      </c>
      <c r="C141" s="29">
        <f>Fuentes!C193+Fuentes!C243+Fuentes!C297</f>
        <v>5511</v>
      </c>
      <c r="D141" s="30">
        <f>Fuentes!D193+Fuentes!D243+Fuentes!D297</f>
        <v>5205</v>
      </c>
      <c r="E141" s="35">
        <f>Fuentes!E193+Fuentes!E243+Fuentes!E297</f>
        <v>4868</v>
      </c>
      <c r="F141" s="28">
        <f>Fuentes!F193+Fuentes!F243+Fuentes!F297</f>
        <v>5286</v>
      </c>
      <c r="G141" s="28">
        <f>Fuentes!G193+Fuentes!G243+Fuentes!G297</f>
        <v>5555</v>
      </c>
      <c r="H141" s="36">
        <f>Fuentes!H193+Fuentes!H243+Fuentes!H297</f>
        <v>5328</v>
      </c>
      <c r="I141" s="28">
        <f>Fuentes!I193+Fuentes!I243+Fuentes!I297</f>
        <v>5028</v>
      </c>
      <c r="J141" s="28">
        <f>Fuentes!J193+Fuentes!J243+Fuentes!J297</f>
        <v>4906</v>
      </c>
      <c r="K141" s="28">
        <f>Fuentes!K193+Fuentes!K243+Fuentes!K297</f>
        <v>4435</v>
      </c>
      <c r="L141" s="28">
        <f>Fuentes!L193+Fuentes!L243+Fuentes!L297</f>
        <v>4322</v>
      </c>
      <c r="M141" s="28">
        <f>Fuentes!M193+Fuentes!M243+Fuentes!M297</f>
        <v>4157</v>
      </c>
      <c r="N141" s="28">
        <f>Fuentes!N193+Fuentes!N243+Fuentes!N297</f>
        <v>4096</v>
      </c>
      <c r="O141" s="28">
        <f>Fuentes!O193+Fuentes!O243+Fuentes!O297</f>
        <v>4975</v>
      </c>
      <c r="P141" s="28">
        <f>Fuentes!P193+Fuentes!P243+Fuentes!P297</f>
        <v>5519</v>
      </c>
      <c r="Q141" s="28">
        <f>Fuentes!Q193+Fuentes!Q243+Fuentes!Q297</f>
        <v>6154</v>
      </c>
      <c r="R141" s="28">
        <f>Fuentes!R193+Fuentes!R243+Fuentes!R297</f>
        <v>6380</v>
      </c>
      <c r="S141" s="28">
        <f>Fuentes!S193+Fuentes!S243+Fuentes!S297</f>
        <v>6653</v>
      </c>
      <c r="T141" s="28">
        <f>Fuentes!T193+Fuentes!T243+Fuentes!T297</f>
        <v>7072</v>
      </c>
      <c r="U141" s="28">
        <f>Fuentes!U193+Fuentes!U243+Fuentes!U297</f>
        <v>7421</v>
      </c>
      <c r="V141" s="28">
        <f>Fuentes!V193+Fuentes!V243+Fuentes!V297</f>
        <v>8417</v>
      </c>
    </row>
    <row r="142" spans="1:22" s="14" customFormat="1" ht="12.75" x14ac:dyDescent="0.2">
      <c r="A142" s="28" t="s">
        <v>3092</v>
      </c>
      <c r="B142" s="29" t="s">
        <v>3127</v>
      </c>
      <c r="C142" s="29">
        <f>Fuentes!C194+Fuentes!C244+Fuentes!C298</f>
        <v>9846</v>
      </c>
      <c r="D142" s="30">
        <f>Fuentes!D194+Fuentes!D244+Fuentes!D298</f>
        <v>11871</v>
      </c>
      <c r="E142" s="35">
        <f>Fuentes!E194+Fuentes!E244+Fuentes!E298</f>
        <v>11467</v>
      </c>
      <c r="F142" s="28">
        <f>Fuentes!F194+Fuentes!F244+Fuentes!F298</f>
        <v>10091</v>
      </c>
      <c r="G142" s="28">
        <f>Fuentes!G194+Fuentes!G244+Fuentes!G298</f>
        <v>10466</v>
      </c>
      <c r="H142" s="28">
        <f>Fuentes!H194+Fuentes!H244+Fuentes!H298</f>
        <v>10527</v>
      </c>
      <c r="I142" s="28">
        <f>Fuentes!I194+Fuentes!I244+Fuentes!I298</f>
        <v>10003</v>
      </c>
      <c r="J142" s="28">
        <f>Fuentes!J194+Fuentes!J244+Fuentes!J298</f>
        <v>8091</v>
      </c>
      <c r="K142" s="28">
        <f>Fuentes!K194+Fuentes!K244+Fuentes!K298</f>
        <v>7216</v>
      </c>
      <c r="L142" s="28">
        <f>Fuentes!L194+Fuentes!L244+Fuentes!L298</f>
        <v>7471</v>
      </c>
      <c r="M142" s="28">
        <f>Fuentes!M194+Fuentes!M244+Fuentes!M298</f>
        <v>7619</v>
      </c>
      <c r="N142" s="36">
        <f>Fuentes!N194+Fuentes!N244+Fuentes!N298</f>
        <v>5795</v>
      </c>
      <c r="O142" s="28">
        <f>Fuentes!O194+Fuentes!O244+Fuentes!O298</f>
        <v>5979</v>
      </c>
      <c r="P142" s="28">
        <f>Fuentes!P194+Fuentes!P244+Fuentes!P298</f>
        <v>6283</v>
      </c>
      <c r="Q142" s="28">
        <f>Fuentes!Q194+Fuentes!Q244+Fuentes!Q298</f>
        <v>7329</v>
      </c>
      <c r="R142" s="28">
        <f>Fuentes!R194+Fuentes!R244+Fuentes!R298</f>
        <v>7808</v>
      </c>
      <c r="S142" s="28">
        <f>Fuentes!S194+Fuentes!S244+Fuentes!S298</f>
        <v>8744</v>
      </c>
      <c r="T142" s="28">
        <f>Fuentes!T194+Fuentes!T244+Fuentes!T298</f>
        <v>11360</v>
      </c>
      <c r="U142" s="28">
        <f>Fuentes!U194+Fuentes!U244+Fuentes!U298</f>
        <v>8846</v>
      </c>
      <c r="V142" s="28">
        <f>Fuentes!V194+Fuentes!V244+Fuentes!V298</f>
        <v>7091</v>
      </c>
    </row>
    <row r="143" spans="1:22" s="14" customFormat="1" ht="12.75" x14ac:dyDescent="0.2">
      <c r="A143" s="28" t="s">
        <v>3092</v>
      </c>
      <c r="B143" s="29" t="s">
        <v>3128</v>
      </c>
      <c r="C143" s="29">
        <f>Fuentes!C195+Fuentes!C245+Fuentes!C299</f>
        <v>2886</v>
      </c>
      <c r="D143" s="30">
        <f>Fuentes!D195+Fuentes!D245+Fuentes!D299</f>
        <v>2712</v>
      </c>
      <c r="E143" s="35">
        <f>Fuentes!E195+Fuentes!E245+Fuentes!E299</f>
        <v>2706</v>
      </c>
      <c r="F143" s="28">
        <f>Fuentes!F195+Fuentes!F245+Fuentes!F299</f>
        <v>2287</v>
      </c>
      <c r="G143" s="28">
        <f>Fuentes!G195+Fuentes!G245+Fuentes!G299</f>
        <v>2351</v>
      </c>
      <c r="H143" s="36">
        <f>Fuentes!H195+Fuentes!H245+Fuentes!H299</f>
        <v>2159</v>
      </c>
      <c r="I143" s="28">
        <f>Fuentes!I195+Fuentes!I245+Fuentes!I299</f>
        <v>2171</v>
      </c>
      <c r="J143" s="28">
        <f>Fuentes!J195+Fuentes!J245+Fuentes!J299</f>
        <v>2267</v>
      </c>
      <c r="K143" s="28">
        <f>Fuentes!K195+Fuentes!K245+Fuentes!K299</f>
        <v>2101</v>
      </c>
      <c r="L143" s="28">
        <f>Fuentes!L195+Fuentes!L245+Fuentes!L299</f>
        <v>1724</v>
      </c>
      <c r="M143" s="28">
        <f>Fuentes!M195+Fuentes!M245+Fuentes!M299</f>
        <v>1423</v>
      </c>
      <c r="N143" s="28">
        <f>Fuentes!N195+Fuentes!N245+Fuentes!N299</f>
        <v>891</v>
      </c>
      <c r="O143" s="28">
        <f>Fuentes!O195+Fuentes!O245+Fuentes!O299</f>
        <v>671</v>
      </c>
      <c r="P143" s="28">
        <f>Fuentes!P195+Fuentes!P245+Fuentes!P299</f>
        <v>497</v>
      </c>
      <c r="Q143" s="28">
        <f>Fuentes!Q195+Fuentes!Q245+Fuentes!Q299</f>
        <v>175</v>
      </c>
      <c r="R143" s="28">
        <f>Fuentes!R195+Fuentes!R245+Fuentes!R299</f>
        <v>155</v>
      </c>
      <c r="S143" s="28">
        <f>Fuentes!S195+Fuentes!S245+Fuentes!S299</f>
        <v>72</v>
      </c>
      <c r="T143" s="28">
        <f>Fuentes!T195+Fuentes!T245+Fuentes!T299</f>
        <v>61</v>
      </c>
      <c r="U143" s="28">
        <f>Fuentes!U195+Fuentes!U245+Fuentes!U299</f>
        <v>37</v>
      </c>
      <c r="V143" s="28">
        <f>Fuentes!V195+Fuentes!V245+Fuentes!V299</f>
        <v>24</v>
      </c>
    </row>
    <row r="144" spans="1:22" s="14" customFormat="1" ht="12.75" x14ac:dyDescent="0.2">
      <c r="A144" s="28" t="s">
        <v>3092</v>
      </c>
      <c r="B144" s="29" t="s">
        <v>3129</v>
      </c>
      <c r="C144" s="29">
        <f>Fuentes!C196+Fuentes!C246+Fuentes!C300</f>
        <v>0</v>
      </c>
      <c r="D144" s="30">
        <f>Fuentes!D196+Fuentes!D246+Fuentes!D300</f>
        <v>0</v>
      </c>
      <c r="E144" s="35">
        <f>Fuentes!E196+Fuentes!E246+Fuentes!E300</f>
        <v>0</v>
      </c>
      <c r="F144" s="28">
        <f>Fuentes!F196+Fuentes!F246+Fuentes!F300</f>
        <v>0</v>
      </c>
      <c r="G144" s="28">
        <f>Fuentes!G196+Fuentes!G246+Fuentes!G300</f>
        <v>0</v>
      </c>
      <c r="H144" s="28">
        <f>Fuentes!H196+Fuentes!H246+Fuentes!H300</f>
        <v>0</v>
      </c>
      <c r="I144" s="28">
        <f>Fuentes!I196+Fuentes!I246+Fuentes!I300</f>
        <v>0</v>
      </c>
      <c r="J144" s="28">
        <f>Fuentes!J196+Fuentes!J246+Fuentes!J300</f>
        <v>0</v>
      </c>
      <c r="K144" s="28">
        <f>Fuentes!K196+Fuentes!K246+Fuentes!K300</f>
        <v>0</v>
      </c>
      <c r="L144" s="28">
        <f>Fuentes!L196+Fuentes!L246+Fuentes!L300</f>
        <v>0</v>
      </c>
      <c r="M144" s="28">
        <f>Fuentes!M196+Fuentes!M246+Fuentes!M300</f>
        <v>845</v>
      </c>
      <c r="N144" s="36">
        <f>Fuentes!N196+Fuentes!N246+Fuentes!N300</f>
        <v>703</v>
      </c>
      <c r="O144" s="28">
        <f>Fuentes!O196+Fuentes!O246+Fuentes!O300</f>
        <v>908</v>
      </c>
      <c r="P144" s="28">
        <f>Fuentes!P196+Fuentes!P246+Fuentes!P300</f>
        <v>932</v>
      </c>
      <c r="Q144" s="28">
        <f>Fuentes!Q196+Fuentes!Q246+Fuentes!Q300</f>
        <v>1103</v>
      </c>
      <c r="R144" s="28">
        <f>Fuentes!R196+Fuentes!R246+Fuentes!R300</f>
        <v>1275</v>
      </c>
      <c r="S144" s="28">
        <f>Fuentes!S196+Fuentes!S246+Fuentes!S300</f>
        <v>1074</v>
      </c>
      <c r="T144" s="28">
        <f>Fuentes!T196+Fuentes!T246+Fuentes!T300</f>
        <v>1224</v>
      </c>
      <c r="U144" s="28">
        <f>Fuentes!U196+Fuentes!U246+Fuentes!U300</f>
        <v>1011</v>
      </c>
      <c r="V144" s="28">
        <f>Fuentes!V196+Fuentes!V246+Fuentes!V300</f>
        <v>1698</v>
      </c>
    </row>
    <row r="145" spans="1:22" s="14" customFormat="1" ht="12.75" x14ac:dyDescent="0.2">
      <c r="A145" s="28" t="s">
        <v>3092</v>
      </c>
      <c r="B145" s="29" t="s">
        <v>3130</v>
      </c>
      <c r="C145" s="29">
        <f>Fuentes!C197+Fuentes!C247+Fuentes!C301</f>
        <v>1017</v>
      </c>
      <c r="D145" s="30">
        <f>Fuentes!D197+Fuentes!D247+Fuentes!D301</f>
        <v>1145</v>
      </c>
      <c r="E145" s="35">
        <f>Fuentes!E197+Fuentes!E247+Fuentes!E301</f>
        <v>1236</v>
      </c>
      <c r="F145" s="28">
        <f>Fuentes!F197+Fuentes!F247+Fuentes!F301</f>
        <v>1271</v>
      </c>
      <c r="G145" s="28">
        <f>Fuentes!G197+Fuentes!G247+Fuentes!G301</f>
        <v>1375</v>
      </c>
      <c r="H145" s="36">
        <f>Fuentes!H197+Fuentes!H247+Fuentes!H301</f>
        <v>1450</v>
      </c>
      <c r="I145" s="28">
        <f>Fuentes!I197+Fuentes!I247+Fuentes!I301</f>
        <v>1448</v>
      </c>
      <c r="J145" s="28">
        <f>Fuentes!J197+Fuentes!J247+Fuentes!J301</f>
        <v>1328</v>
      </c>
      <c r="K145" s="28">
        <f>Fuentes!K197+Fuentes!K247+Fuentes!K301</f>
        <v>1213</v>
      </c>
      <c r="L145" s="28">
        <f>Fuentes!L197+Fuentes!L247+Fuentes!L301</f>
        <v>1540</v>
      </c>
      <c r="M145" s="28">
        <f>Fuentes!M197+Fuentes!M247+Fuentes!M301</f>
        <v>1772</v>
      </c>
      <c r="N145" s="28">
        <f>Fuentes!N197+Fuentes!N247+Fuentes!N301</f>
        <v>1822</v>
      </c>
      <c r="O145" s="28">
        <f>Fuentes!O197+Fuentes!O247+Fuentes!O301</f>
        <v>1668</v>
      </c>
      <c r="P145" s="28">
        <f>Fuentes!P197+Fuentes!P247+Fuentes!P301</f>
        <v>1409</v>
      </c>
      <c r="Q145" s="28">
        <f>Fuentes!Q197+Fuentes!Q247+Fuentes!Q301</f>
        <v>1547</v>
      </c>
      <c r="R145" s="28">
        <f>Fuentes!R197+Fuentes!R247+Fuentes!R301</f>
        <v>1621</v>
      </c>
      <c r="S145" s="28">
        <f>Fuentes!S197+Fuentes!S247+Fuentes!S301</f>
        <v>1500</v>
      </c>
      <c r="T145" s="28">
        <f>Fuentes!T197+Fuentes!T247+Fuentes!T301</f>
        <v>1397</v>
      </c>
      <c r="U145" s="28">
        <f>Fuentes!U197+Fuentes!U247+Fuentes!U301</f>
        <v>1138</v>
      </c>
      <c r="V145" s="28">
        <f>Fuentes!V197+Fuentes!V247+Fuentes!V301</f>
        <v>1257</v>
      </c>
    </row>
    <row r="146" spans="1:22" s="14" customFormat="1" ht="12.75" x14ac:dyDescent="0.2">
      <c r="A146" s="28" t="s">
        <v>3092</v>
      </c>
      <c r="B146" s="29" t="s">
        <v>3131</v>
      </c>
      <c r="C146" s="29">
        <f>Fuentes!C198+Fuentes!C248+Fuentes!C302</f>
        <v>1727</v>
      </c>
      <c r="D146" s="30">
        <f>Fuentes!D198+Fuentes!D248+Fuentes!D302</f>
        <v>2055</v>
      </c>
      <c r="E146" s="35">
        <f>Fuentes!E198+Fuentes!E248+Fuentes!E302</f>
        <v>2013</v>
      </c>
      <c r="F146" s="28">
        <f>Fuentes!F198+Fuentes!F248+Fuentes!F302</f>
        <v>2303</v>
      </c>
      <c r="G146" s="28">
        <f>Fuentes!G198+Fuentes!G248+Fuentes!G302</f>
        <v>2382</v>
      </c>
      <c r="H146" s="28">
        <f>Fuentes!H198+Fuentes!H248+Fuentes!H302</f>
        <v>2240</v>
      </c>
      <c r="I146" s="28">
        <f>Fuentes!I198+Fuentes!I248+Fuentes!I302</f>
        <v>2293</v>
      </c>
      <c r="J146" s="28">
        <f>Fuentes!J198+Fuentes!J248+Fuentes!J302</f>
        <v>2252</v>
      </c>
      <c r="K146" s="28">
        <f>Fuentes!K198+Fuentes!K248+Fuentes!K302</f>
        <v>2397</v>
      </c>
      <c r="L146" s="28">
        <f>Fuentes!L198+Fuentes!L248+Fuentes!L302</f>
        <v>1945</v>
      </c>
      <c r="M146" s="28">
        <f>Fuentes!M198+Fuentes!M248+Fuentes!M302</f>
        <v>1856</v>
      </c>
      <c r="N146" s="36">
        <f>Fuentes!N198+Fuentes!N248+Fuentes!N302</f>
        <v>1830</v>
      </c>
      <c r="O146" s="28">
        <f>Fuentes!O198+Fuentes!O248+Fuentes!O302</f>
        <v>1754</v>
      </c>
      <c r="P146" s="28">
        <f>Fuentes!P198+Fuentes!P248+Fuentes!P302</f>
        <v>1885</v>
      </c>
      <c r="Q146" s="28">
        <f>Fuentes!Q198+Fuentes!Q248+Fuentes!Q302</f>
        <v>1998</v>
      </c>
      <c r="R146" s="28">
        <f>Fuentes!R198+Fuentes!R248+Fuentes!R302</f>
        <v>2149</v>
      </c>
      <c r="S146" s="28">
        <f>Fuentes!S198+Fuentes!S248+Fuentes!S302</f>
        <v>2046</v>
      </c>
      <c r="T146" s="28">
        <f>Fuentes!T198+Fuentes!T248+Fuentes!T302</f>
        <v>1981</v>
      </c>
      <c r="U146" s="28">
        <f>Fuentes!U198+Fuentes!U248+Fuentes!U302</f>
        <v>2056</v>
      </c>
      <c r="V146" s="28">
        <f>Fuentes!V198+Fuentes!V248+Fuentes!V302</f>
        <v>2140</v>
      </c>
    </row>
    <row r="147" spans="1:22" s="14" customFormat="1" ht="12.75" x14ac:dyDescent="0.2">
      <c r="A147" s="28" t="s">
        <v>3092</v>
      </c>
      <c r="B147" s="29" t="s">
        <v>3132</v>
      </c>
      <c r="C147" s="29">
        <f>Fuentes!C199+Fuentes!C249+Fuentes!C303</f>
        <v>193</v>
      </c>
      <c r="D147" s="30">
        <f>Fuentes!D199+Fuentes!D249+Fuentes!D303</f>
        <v>223</v>
      </c>
      <c r="E147" s="35">
        <f>Fuentes!E199+Fuentes!E249+Fuentes!E303</f>
        <v>222</v>
      </c>
      <c r="F147" s="28">
        <f>Fuentes!F199+Fuentes!F249+Fuentes!F303</f>
        <v>180</v>
      </c>
      <c r="G147" s="28">
        <f>Fuentes!G199+Fuentes!G249+Fuentes!G303</f>
        <v>212</v>
      </c>
      <c r="H147" s="36">
        <f>Fuentes!H199+Fuentes!H249+Fuentes!H303</f>
        <v>191</v>
      </c>
      <c r="I147" s="28">
        <f>Fuentes!I199+Fuentes!I249+Fuentes!I303</f>
        <v>224</v>
      </c>
      <c r="J147" s="28">
        <f>Fuentes!J199+Fuentes!J249+Fuentes!J303</f>
        <v>229</v>
      </c>
      <c r="K147" s="28">
        <f>Fuentes!K199+Fuentes!K249+Fuentes!K303</f>
        <v>212</v>
      </c>
      <c r="L147" s="28">
        <f>Fuentes!L199+Fuentes!L249+Fuentes!L303</f>
        <v>242</v>
      </c>
      <c r="M147" s="28">
        <f>Fuentes!M199+Fuentes!M249+Fuentes!M303</f>
        <v>317</v>
      </c>
      <c r="N147" s="28">
        <f>Fuentes!N199+Fuentes!N249+Fuentes!N303</f>
        <v>274</v>
      </c>
      <c r="O147" s="28">
        <f>Fuentes!O199+Fuentes!O249+Fuentes!O303</f>
        <v>0</v>
      </c>
      <c r="P147" s="28">
        <f>Fuentes!P199+Fuentes!P249+Fuentes!P303</f>
        <v>0</v>
      </c>
      <c r="Q147" s="28">
        <f>Fuentes!Q199+Fuentes!Q249+Fuentes!Q303</f>
        <v>0</v>
      </c>
      <c r="R147" s="28">
        <f>Fuentes!R199+Fuentes!R249+Fuentes!R303</f>
        <v>0</v>
      </c>
      <c r="S147" s="28">
        <f>Fuentes!S199+Fuentes!S249+Fuentes!S303</f>
        <v>0</v>
      </c>
      <c r="T147" s="28">
        <f>Fuentes!T199+Fuentes!T249+Fuentes!T303</f>
        <v>0</v>
      </c>
      <c r="U147" s="28">
        <f>Fuentes!U199+Fuentes!U249+Fuentes!U303</f>
        <v>0</v>
      </c>
      <c r="V147" s="28">
        <f>Fuentes!V199+Fuentes!V249+Fuentes!V303</f>
        <v>0</v>
      </c>
    </row>
    <row r="148" spans="1:22" s="14" customFormat="1" ht="12.75" x14ac:dyDescent="0.2">
      <c r="A148" s="28" t="s">
        <v>3092</v>
      </c>
      <c r="B148" s="29" t="s">
        <v>3133</v>
      </c>
      <c r="C148" s="29">
        <f>Fuentes!C200+Fuentes!C250+Fuentes!C304</f>
        <v>133</v>
      </c>
      <c r="D148" s="30">
        <f>Fuentes!D200+Fuentes!D250+Fuentes!D304</f>
        <v>180</v>
      </c>
      <c r="E148" s="35">
        <f>Fuentes!E200+Fuentes!E250+Fuentes!E304</f>
        <v>190</v>
      </c>
      <c r="F148" s="28">
        <f>Fuentes!F200+Fuentes!F250+Fuentes!F304</f>
        <v>268</v>
      </c>
      <c r="G148" s="28">
        <f>Fuentes!G200+Fuentes!G250+Fuentes!G304</f>
        <v>336</v>
      </c>
      <c r="H148" s="28">
        <f>Fuentes!H200+Fuentes!H250+Fuentes!H304</f>
        <v>309</v>
      </c>
      <c r="I148" s="28">
        <f>Fuentes!I200+Fuentes!I250+Fuentes!I304</f>
        <v>317</v>
      </c>
      <c r="J148" s="28">
        <f>Fuentes!J200+Fuentes!J250+Fuentes!J304</f>
        <v>313</v>
      </c>
      <c r="K148" s="28">
        <f>Fuentes!K200+Fuentes!K250+Fuentes!K304</f>
        <v>250</v>
      </c>
      <c r="L148" s="28">
        <f>Fuentes!L200+Fuentes!L250+Fuentes!L304</f>
        <v>319</v>
      </c>
      <c r="M148" s="28">
        <f>Fuentes!M200+Fuentes!M250+Fuentes!M304</f>
        <v>491</v>
      </c>
      <c r="N148" s="36">
        <f>Fuentes!N200+Fuentes!N250+Fuentes!N304</f>
        <v>338</v>
      </c>
      <c r="O148" s="28">
        <f>Fuentes!O200+Fuentes!O250+Fuentes!O304</f>
        <v>410</v>
      </c>
      <c r="P148" s="28">
        <f>Fuentes!P200+Fuentes!P250+Fuentes!P304</f>
        <v>432</v>
      </c>
      <c r="Q148" s="28">
        <f>Fuentes!Q200+Fuentes!Q250+Fuentes!Q304</f>
        <v>438</v>
      </c>
      <c r="R148" s="28">
        <f>Fuentes!R200+Fuentes!R250+Fuentes!R304</f>
        <v>422</v>
      </c>
      <c r="S148" s="28">
        <f>Fuentes!S200+Fuentes!S250+Fuentes!S304</f>
        <v>344</v>
      </c>
      <c r="T148" s="28">
        <f>Fuentes!T200+Fuentes!T250+Fuentes!T304</f>
        <v>371</v>
      </c>
      <c r="U148" s="28">
        <f>Fuentes!U200+Fuentes!U250+Fuentes!U304</f>
        <v>321</v>
      </c>
      <c r="V148" s="28">
        <f>Fuentes!V200+Fuentes!V250+Fuentes!V304</f>
        <v>307</v>
      </c>
    </row>
    <row r="149" spans="1:22" s="14" customFormat="1" ht="12.75" x14ac:dyDescent="0.2">
      <c r="A149" s="28" t="s">
        <v>3092</v>
      </c>
      <c r="B149" s="29" t="s">
        <v>3134</v>
      </c>
      <c r="C149" s="29">
        <f>Fuentes!C201+Fuentes!C251+Fuentes!C305</f>
        <v>2252</v>
      </c>
      <c r="D149" s="30">
        <f>Fuentes!D201+Fuentes!D251+Fuentes!D305</f>
        <v>2460</v>
      </c>
      <c r="E149" s="35">
        <f>Fuentes!E201+Fuentes!E251+Fuentes!E305</f>
        <v>3140</v>
      </c>
      <c r="F149" s="28">
        <f>Fuentes!F201+Fuentes!F251+Fuentes!F305</f>
        <v>3695</v>
      </c>
      <c r="G149" s="28">
        <f>Fuentes!G201+Fuentes!G251+Fuentes!G305</f>
        <v>3828</v>
      </c>
      <c r="H149" s="36">
        <f>Fuentes!H201+Fuentes!H251+Fuentes!H305</f>
        <v>2606</v>
      </c>
      <c r="I149" s="28">
        <f>Fuentes!I201+Fuentes!I251+Fuentes!I305</f>
        <v>2184</v>
      </c>
      <c r="J149" s="28">
        <f>Fuentes!J201+Fuentes!J251+Fuentes!J305</f>
        <v>2695</v>
      </c>
      <c r="K149" s="28">
        <f>Fuentes!K201+Fuentes!K251+Fuentes!K305</f>
        <v>2957</v>
      </c>
      <c r="L149" s="28">
        <f>Fuentes!L201+Fuentes!L251+Fuentes!L305</f>
        <v>3637</v>
      </c>
      <c r="M149" s="28">
        <f>Fuentes!M201+Fuentes!M251+Fuentes!M305</f>
        <v>0</v>
      </c>
      <c r="N149" s="28">
        <f>Fuentes!N201+Fuentes!N251+Fuentes!N305</f>
        <v>0</v>
      </c>
      <c r="O149" s="28">
        <f>Fuentes!O201+Fuentes!O251+Fuentes!O305</f>
        <v>0</v>
      </c>
      <c r="P149" s="28">
        <f>Fuentes!P201+Fuentes!P251+Fuentes!P305</f>
        <v>0</v>
      </c>
      <c r="Q149" s="28">
        <f>Fuentes!Q201+Fuentes!Q251+Fuentes!Q305</f>
        <v>0</v>
      </c>
      <c r="R149" s="28">
        <f>Fuentes!R201+Fuentes!R251+Fuentes!R305</f>
        <v>0</v>
      </c>
      <c r="S149" s="28">
        <f>Fuentes!S201+Fuentes!S251+Fuentes!S305</f>
        <v>0</v>
      </c>
      <c r="T149" s="28">
        <f>Fuentes!T201+Fuentes!T251+Fuentes!T305</f>
        <v>0</v>
      </c>
      <c r="U149" s="28">
        <f>Fuentes!U201+Fuentes!U251+Fuentes!U305</f>
        <v>0</v>
      </c>
      <c r="V149" s="28">
        <f>Fuentes!V201+Fuentes!V251+Fuentes!V305</f>
        <v>0</v>
      </c>
    </row>
    <row r="150" spans="1:22" s="14" customFormat="1" ht="12.75" x14ac:dyDescent="0.2">
      <c r="A150" s="28" t="s">
        <v>3092</v>
      </c>
      <c r="B150" s="29" t="s">
        <v>3135</v>
      </c>
      <c r="C150" s="29">
        <f>SUM(C151:C157)</f>
        <v>4813</v>
      </c>
      <c r="D150" s="30">
        <f t="shared" ref="D150:V150" si="13">SUM(D151:D157)</f>
        <v>5073</v>
      </c>
      <c r="E150" s="35">
        <f t="shared" si="13"/>
        <v>5131</v>
      </c>
      <c r="F150" s="28">
        <f t="shared" si="13"/>
        <v>5567</v>
      </c>
      <c r="G150" s="28">
        <f t="shared" si="13"/>
        <v>6783</v>
      </c>
      <c r="H150" s="28">
        <f t="shared" si="13"/>
        <v>6564</v>
      </c>
      <c r="I150" s="28">
        <f t="shared" si="13"/>
        <v>7032</v>
      </c>
      <c r="J150" s="28">
        <f t="shared" si="13"/>
        <v>7765</v>
      </c>
      <c r="K150" s="28">
        <f t="shared" si="13"/>
        <v>8622</v>
      </c>
      <c r="L150" s="28">
        <f t="shared" si="13"/>
        <v>9748</v>
      </c>
      <c r="M150" s="28">
        <f t="shared" si="13"/>
        <v>10005</v>
      </c>
      <c r="N150" s="36">
        <f t="shared" si="13"/>
        <v>9826</v>
      </c>
      <c r="O150" s="28">
        <f t="shared" si="13"/>
        <v>7629</v>
      </c>
      <c r="P150" s="28">
        <f t="shared" si="13"/>
        <v>6652</v>
      </c>
      <c r="Q150" s="28">
        <f t="shared" si="13"/>
        <v>6373</v>
      </c>
      <c r="R150" s="28">
        <f t="shared" si="13"/>
        <v>6221</v>
      </c>
      <c r="S150" s="28">
        <f t="shared" si="13"/>
        <v>6563</v>
      </c>
      <c r="T150" s="28">
        <f t="shared" si="13"/>
        <v>7993</v>
      </c>
      <c r="U150" s="28">
        <f t="shared" si="13"/>
        <v>9607</v>
      </c>
      <c r="V150" s="28">
        <f t="shared" si="13"/>
        <v>17997</v>
      </c>
    </row>
    <row r="151" spans="1:22" s="14" customFormat="1" ht="12.75" x14ac:dyDescent="0.2">
      <c r="A151" s="28" t="s">
        <v>3092</v>
      </c>
      <c r="B151" s="29" t="s">
        <v>3136</v>
      </c>
      <c r="C151" s="29">
        <f>Fuentes!C203+Fuentes!C253+Fuentes!C307</f>
        <v>1049</v>
      </c>
      <c r="D151" s="30">
        <f>Fuentes!D203+Fuentes!D253+Fuentes!D307</f>
        <v>1343</v>
      </c>
      <c r="E151" s="35">
        <f>Fuentes!E203+Fuentes!E253+Fuentes!E307</f>
        <v>1051</v>
      </c>
      <c r="F151" s="28">
        <f>Fuentes!F203+Fuentes!F253+Fuentes!F307</f>
        <v>901</v>
      </c>
      <c r="G151" s="28">
        <f>Fuentes!G203+Fuentes!G253+Fuentes!G307</f>
        <v>1087</v>
      </c>
      <c r="H151" s="36">
        <f>Fuentes!H203+Fuentes!H253+Fuentes!H307</f>
        <v>973</v>
      </c>
      <c r="I151" s="28">
        <f>Fuentes!I203+Fuentes!I253+Fuentes!I307</f>
        <v>965</v>
      </c>
      <c r="J151" s="28">
        <f>Fuentes!J203+Fuentes!J253+Fuentes!J307</f>
        <v>869</v>
      </c>
      <c r="K151" s="28">
        <f>Fuentes!K203+Fuentes!K253+Fuentes!K307</f>
        <v>972</v>
      </c>
      <c r="L151" s="28">
        <f>Fuentes!L203+Fuentes!L253+Fuentes!L307</f>
        <v>1519</v>
      </c>
      <c r="M151" s="28">
        <f>Fuentes!M203+Fuentes!M253+Fuentes!M307</f>
        <v>1978</v>
      </c>
      <c r="N151" s="28">
        <f>Fuentes!N203+Fuentes!N253+Fuentes!N307</f>
        <v>2087</v>
      </c>
      <c r="O151" s="28">
        <f>Fuentes!O203+Fuentes!O253+Fuentes!O307</f>
        <v>2247</v>
      </c>
      <c r="P151" s="28">
        <f>Fuentes!P203+Fuentes!P253+Fuentes!P307</f>
        <v>2361</v>
      </c>
      <c r="Q151" s="28">
        <f>Fuentes!Q203+Fuentes!Q253+Fuentes!Q307</f>
        <v>2498</v>
      </c>
      <c r="R151" s="28">
        <f>Fuentes!R203+Fuentes!R253+Fuentes!R307</f>
        <v>2636</v>
      </c>
      <c r="S151" s="28">
        <f>Fuentes!S203+Fuentes!S253+Fuentes!S307</f>
        <v>2913</v>
      </c>
      <c r="T151" s="28">
        <f>Fuentes!T203+Fuentes!T253+Fuentes!T307</f>
        <v>2836</v>
      </c>
      <c r="U151" s="28">
        <f>Fuentes!U203+Fuentes!U253+Fuentes!U307</f>
        <v>3045</v>
      </c>
      <c r="V151" s="28">
        <f>Fuentes!V203+Fuentes!V253+Fuentes!V307</f>
        <v>9223</v>
      </c>
    </row>
    <row r="152" spans="1:22" s="14" customFormat="1" ht="12.75" x14ac:dyDescent="0.2">
      <c r="A152" s="28" t="s">
        <v>3092</v>
      </c>
      <c r="B152" s="29" t="s">
        <v>3137</v>
      </c>
      <c r="C152" s="29">
        <f>Fuentes!C204+Fuentes!C254+Fuentes!C308</f>
        <v>0</v>
      </c>
      <c r="D152" s="30">
        <f>Fuentes!D204+Fuentes!D254+Fuentes!D308</f>
        <v>0</v>
      </c>
      <c r="E152" s="35">
        <f>Fuentes!E204+Fuentes!E254+Fuentes!E308</f>
        <v>0</v>
      </c>
      <c r="F152" s="28">
        <f>Fuentes!F204+Fuentes!F254+Fuentes!F308</f>
        <v>0</v>
      </c>
      <c r="G152" s="28">
        <f>Fuentes!G204+Fuentes!G254+Fuentes!G308</f>
        <v>0</v>
      </c>
      <c r="H152" s="28">
        <f>Fuentes!H204+Fuentes!H254+Fuentes!H308</f>
        <v>0</v>
      </c>
      <c r="I152" s="28">
        <f>Fuentes!I204+Fuentes!I254+Fuentes!I308</f>
        <v>0</v>
      </c>
      <c r="J152" s="28">
        <f>Fuentes!J204+Fuentes!J254+Fuentes!J308</f>
        <v>0</v>
      </c>
      <c r="K152" s="28">
        <f>Fuentes!K204+Fuentes!K254+Fuentes!K308</f>
        <v>200</v>
      </c>
      <c r="L152" s="28">
        <f>Fuentes!L204+Fuentes!L254+Fuentes!L308</f>
        <v>378</v>
      </c>
      <c r="M152" s="28">
        <f>Fuentes!M204+Fuentes!M254+Fuentes!M308</f>
        <v>125</v>
      </c>
      <c r="N152" s="36">
        <f>Fuentes!N204+Fuentes!N254+Fuentes!N308</f>
        <v>53</v>
      </c>
      <c r="O152" s="28">
        <f>Fuentes!O204+Fuentes!O254+Fuentes!O308</f>
        <v>118</v>
      </c>
      <c r="P152" s="28">
        <f>Fuentes!P204+Fuentes!P254+Fuentes!P308</f>
        <v>185</v>
      </c>
      <c r="Q152" s="28">
        <f>Fuentes!Q204+Fuentes!Q254+Fuentes!Q308</f>
        <v>224</v>
      </c>
      <c r="R152" s="28">
        <f>Fuentes!R204+Fuentes!R254+Fuentes!R308</f>
        <v>248</v>
      </c>
      <c r="S152" s="28">
        <f>Fuentes!S204+Fuentes!S254+Fuentes!S308</f>
        <v>383</v>
      </c>
      <c r="T152" s="28">
        <f>Fuentes!T204+Fuentes!T254+Fuentes!T308</f>
        <v>410</v>
      </c>
      <c r="U152" s="28">
        <f>Fuentes!U204+Fuentes!U254+Fuentes!U308</f>
        <v>471</v>
      </c>
      <c r="V152" s="28">
        <f>Fuentes!V204+Fuentes!V254+Fuentes!V308</f>
        <v>552</v>
      </c>
    </row>
    <row r="153" spans="1:22" s="14" customFormat="1" ht="12.75" x14ac:dyDescent="0.2">
      <c r="A153" s="28" t="s">
        <v>3092</v>
      </c>
      <c r="B153" s="29" t="s">
        <v>3138</v>
      </c>
      <c r="C153" s="29">
        <f>Fuentes!C205+Fuentes!C255+Fuentes!C309</f>
        <v>1071</v>
      </c>
      <c r="D153" s="30">
        <f>Fuentes!D205+Fuentes!D255+Fuentes!D309</f>
        <v>923</v>
      </c>
      <c r="E153" s="35">
        <f>Fuentes!E205+Fuentes!E255+Fuentes!E309</f>
        <v>882</v>
      </c>
      <c r="F153" s="28">
        <f>Fuentes!F205+Fuentes!F255+Fuentes!F309</f>
        <v>1109</v>
      </c>
      <c r="G153" s="28">
        <f>Fuentes!G205+Fuentes!G255+Fuentes!G309</f>
        <v>1498</v>
      </c>
      <c r="H153" s="36">
        <f>Fuentes!H205+Fuentes!H255+Fuentes!H309</f>
        <v>1320</v>
      </c>
      <c r="I153" s="28">
        <f>Fuentes!I205+Fuentes!I255+Fuentes!I309</f>
        <v>1515</v>
      </c>
      <c r="J153" s="28">
        <f>Fuentes!J205+Fuentes!J255+Fuentes!J309</f>
        <v>1419</v>
      </c>
      <c r="K153" s="28">
        <f>Fuentes!K205+Fuentes!K255+Fuentes!K309</f>
        <v>1600</v>
      </c>
      <c r="L153" s="28">
        <f>Fuentes!L205+Fuentes!L255+Fuentes!L309</f>
        <v>1923</v>
      </c>
      <c r="M153" s="28">
        <f>Fuentes!M205+Fuentes!M255+Fuentes!M309</f>
        <v>1827</v>
      </c>
      <c r="N153" s="28">
        <f>Fuentes!N205+Fuentes!N255+Fuentes!N309</f>
        <v>1289</v>
      </c>
      <c r="O153" s="28">
        <f>Fuentes!O205+Fuentes!O255+Fuentes!O309</f>
        <v>1641</v>
      </c>
      <c r="P153" s="28">
        <f>Fuentes!P205+Fuentes!P255+Fuentes!P309</f>
        <v>1748</v>
      </c>
      <c r="Q153" s="28">
        <f>Fuentes!Q205+Fuentes!Q255+Fuentes!Q309</f>
        <v>1660</v>
      </c>
      <c r="R153" s="28">
        <f>Fuentes!R205+Fuentes!R255+Fuentes!R309</f>
        <v>1728</v>
      </c>
      <c r="S153" s="28">
        <f>Fuentes!S205+Fuentes!S255+Fuentes!S309</f>
        <v>1938</v>
      </c>
      <c r="T153" s="28">
        <f>Fuentes!T205+Fuentes!T255+Fuentes!T309</f>
        <v>3463</v>
      </c>
      <c r="U153" s="28">
        <f>Fuentes!U205+Fuentes!U255+Fuentes!U309</f>
        <v>4848</v>
      </c>
      <c r="V153" s="28">
        <f>Fuentes!V205+Fuentes!V255+Fuentes!V309</f>
        <v>6438</v>
      </c>
    </row>
    <row r="154" spans="1:22" s="14" customFormat="1" ht="12.75" x14ac:dyDescent="0.2">
      <c r="A154" s="28" t="s">
        <v>3092</v>
      </c>
      <c r="B154" s="29" t="s">
        <v>3139</v>
      </c>
      <c r="C154" s="29">
        <f>Fuentes!C206+Fuentes!C256+Fuentes!C310</f>
        <v>1624</v>
      </c>
      <c r="D154" s="30">
        <f>Fuentes!D206+Fuentes!D256+Fuentes!D310</f>
        <v>1598</v>
      </c>
      <c r="E154" s="35">
        <f>Fuentes!E206+Fuentes!E256+Fuentes!E310</f>
        <v>1765</v>
      </c>
      <c r="F154" s="28">
        <f>Fuentes!F206+Fuentes!F256+Fuentes!F310</f>
        <v>1925</v>
      </c>
      <c r="G154" s="28">
        <f>Fuentes!G206+Fuentes!G256+Fuentes!G310</f>
        <v>2560</v>
      </c>
      <c r="H154" s="28">
        <f>Fuentes!H206+Fuentes!H256+Fuentes!H310</f>
        <v>2709</v>
      </c>
      <c r="I154" s="28">
        <f>Fuentes!I206+Fuentes!I256+Fuentes!I310</f>
        <v>2902</v>
      </c>
      <c r="J154" s="28">
        <f>Fuentes!J206+Fuentes!J256+Fuentes!J310</f>
        <v>3102</v>
      </c>
      <c r="K154" s="28">
        <f>Fuentes!K206+Fuentes!K256+Fuentes!K310</f>
        <v>3137</v>
      </c>
      <c r="L154" s="28">
        <f>Fuentes!L206+Fuentes!L256+Fuentes!L310</f>
        <v>3099</v>
      </c>
      <c r="M154" s="28">
        <f>Fuentes!M206+Fuentes!M256+Fuentes!M310</f>
        <v>2890</v>
      </c>
      <c r="N154" s="36">
        <f>Fuentes!N206+Fuentes!N256+Fuentes!N310</f>
        <v>2952</v>
      </c>
      <c r="O154" s="28">
        <f>Fuentes!O206+Fuentes!O256+Fuentes!O310</f>
        <v>2608</v>
      </c>
      <c r="P154" s="28">
        <f>Fuentes!P206+Fuentes!P256+Fuentes!P310</f>
        <v>2301</v>
      </c>
      <c r="Q154" s="28">
        <f>Fuentes!Q206+Fuentes!Q256+Fuentes!Q310</f>
        <v>1959</v>
      </c>
      <c r="R154" s="28">
        <f>Fuentes!R206+Fuentes!R256+Fuentes!R310</f>
        <v>1571</v>
      </c>
      <c r="S154" s="28">
        <f>Fuentes!S206+Fuentes!S256+Fuentes!S310</f>
        <v>1278</v>
      </c>
      <c r="T154" s="28">
        <f>Fuentes!T206+Fuentes!T256+Fuentes!T310</f>
        <v>1218</v>
      </c>
      <c r="U154" s="28">
        <f>Fuentes!U206+Fuentes!U256+Fuentes!U310</f>
        <v>1209</v>
      </c>
      <c r="V154" s="28">
        <f>Fuentes!V206+Fuentes!V256+Fuentes!V310</f>
        <v>1722</v>
      </c>
    </row>
    <row r="155" spans="1:22" s="14" customFormat="1" ht="12.75" x14ac:dyDescent="0.2">
      <c r="A155" s="28" t="s">
        <v>3092</v>
      </c>
      <c r="B155" s="29" t="s">
        <v>3140</v>
      </c>
      <c r="C155" s="29">
        <f>Fuentes!C207+Fuentes!C257+Fuentes!C311</f>
        <v>0</v>
      </c>
      <c r="D155" s="30">
        <f>Fuentes!D207+Fuentes!D257+Fuentes!D311</f>
        <v>0</v>
      </c>
      <c r="E155" s="35">
        <f>Fuentes!E207+Fuentes!E257+Fuentes!E311</f>
        <v>0</v>
      </c>
      <c r="F155" s="28">
        <f>Fuentes!F207+Fuentes!F257+Fuentes!F311</f>
        <v>0</v>
      </c>
      <c r="G155" s="28">
        <f>Fuentes!G207+Fuentes!G257+Fuentes!G311</f>
        <v>0</v>
      </c>
      <c r="H155" s="36">
        <f>Fuentes!H207+Fuentes!H257+Fuentes!H311</f>
        <v>0</v>
      </c>
      <c r="I155" s="28">
        <f>Fuentes!I207+Fuentes!I257+Fuentes!I311</f>
        <v>0</v>
      </c>
      <c r="J155" s="28">
        <f>Fuentes!J207+Fuentes!J257+Fuentes!J311</f>
        <v>0</v>
      </c>
      <c r="K155" s="28">
        <f>Fuentes!K207+Fuentes!K257+Fuentes!K311</f>
        <v>0</v>
      </c>
      <c r="L155" s="28">
        <f>Fuentes!L207+Fuentes!L257+Fuentes!L311</f>
        <v>0</v>
      </c>
      <c r="M155" s="28">
        <f>Fuentes!M207+Fuentes!M257+Fuentes!M311</f>
        <v>0</v>
      </c>
      <c r="N155" s="28">
        <f>Fuentes!N207+Fuentes!N257+Fuentes!N311</f>
        <v>0</v>
      </c>
      <c r="O155" s="28">
        <f>Fuentes!O207+Fuentes!O257+Fuentes!O311</f>
        <v>22</v>
      </c>
      <c r="P155" s="28">
        <f>Fuentes!P207+Fuentes!P257+Fuentes!P311</f>
        <v>23</v>
      </c>
      <c r="Q155" s="28">
        <f>Fuentes!Q207+Fuentes!Q257+Fuentes!Q311</f>
        <v>32</v>
      </c>
      <c r="R155" s="28">
        <f>Fuentes!R207+Fuentes!R257+Fuentes!R311</f>
        <v>38</v>
      </c>
      <c r="S155" s="28">
        <f>Fuentes!S207+Fuentes!S257+Fuentes!S311</f>
        <v>51</v>
      </c>
      <c r="T155" s="28">
        <f>Fuentes!T207+Fuentes!T257+Fuentes!T311</f>
        <v>66</v>
      </c>
      <c r="U155" s="28">
        <f>Fuentes!U207+Fuentes!U257+Fuentes!U311</f>
        <v>34</v>
      </c>
      <c r="V155" s="28">
        <f>Fuentes!V207+Fuentes!V257+Fuentes!V311</f>
        <v>62</v>
      </c>
    </row>
    <row r="156" spans="1:22" s="14" customFormat="1" ht="12.75" x14ac:dyDescent="0.2">
      <c r="A156" s="28" t="s">
        <v>3092</v>
      </c>
      <c r="B156" s="29" t="s">
        <v>3141</v>
      </c>
      <c r="C156" s="29">
        <f>Fuentes!C208+Fuentes!C258+Fuentes!C312</f>
        <v>974</v>
      </c>
      <c r="D156" s="30">
        <f>Fuentes!D208+Fuentes!D258+Fuentes!D312</f>
        <v>1077</v>
      </c>
      <c r="E156" s="35">
        <f>Fuentes!E208+Fuentes!E258+Fuentes!E312</f>
        <v>1219</v>
      </c>
      <c r="F156" s="28">
        <f>Fuentes!F208+Fuentes!F258+Fuentes!F312</f>
        <v>1388</v>
      </c>
      <c r="G156" s="28">
        <f>Fuentes!G208+Fuentes!G258+Fuentes!G312</f>
        <v>1493</v>
      </c>
      <c r="H156" s="28">
        <f>Fuentes!H208+Fuentes!H258+Fuentes!H312</f>
        <v>1370</v>
      </c>
      <c r="I156" s="28">
        <f>Fuentes!I208+Fuentes!I258+Fuentes!I312</f>
        <v>1475</v>
      </c>
      <c r="J156" s="28">
        <f>Fuentes!J208+Fuentes!J258+Fuentes!J312</f>
        <v>2232</v>
      </c>
      <c r="K156" s="28">
        <f>Fuentes!K208+Fuentes!K258+Fuentes!K312</f>
        <v>2572</v>
      </c>
      <c r="L156" s="28">
        <f>Fuentes!L208+Fuentes!L258+Fuentes!L312</f>
        <v>2678</v>
      </c>
      <c r="M156" s="28">
        <f>Fuentes!M208+Fuentes!M258+Fuentes!M312</f>
        <v>3058</v>
      </c>
      <c r="N156" s="36">
        <f>Fuentes!N208+Fuentes!N258+Fuentes!N312</f>
        <v>3257</v>
      </c>
      <c r="O156" s="28">
        <f>Fuentes!O208+Fuentes!O258+Fuentes!O312</f>
        <v>948</v>
      </c>
      <c r="P156" s="28">
        <f>Fuentes!P208+Fuentes!P258+Fuentes!P312</f>
        <v>34</v>
      </c>
      <c r="Q156" s="28">
        <f>Fuentes!Q208+Fuentes!Q258+Fuentes!Q312</f>
        <v>0</v>
      </c>
      <c r="R156" s="28">
        <f>Fuentes!R208+Fuentes!R258+Fuentes!R312</f>
        <v>0</v>
      </c>
      <c r="S156" s="28">
        <f>Fuentes!S208+Fuentes!S258+Fuentes!S312</f>
        <v>0</v>
      </c>
      <c r="T156" s="28">
        <f>Fuentes!T208+Fuentes!T258+Fuentes!T312</f>
        <v>0</v>
      </c>
      <c r="U156" s="28">
        <f>Fuentes!U208+Fuentes!U258+Fuentes!U312</f>
        <v>0</v>
      </c>
      <c r="V156" s="28">
        <f>Fuentes!V208+Fuentes!V258+Fuentes!V312</f>
        <v>0</v>
      </c>
    </row>
    <row r="157" spans="1:22" s="14" customFormat="1" ht="12.75" x14ac:dyDescent="0.2">
      <c r="A157" s="28" t="s">
        <v>3092</v>
      </c>
      <c r="B157" s="29" t="s">
        <v>3142</v>
      </c>
      <c r="C157" s="29">
        <f>Fuentes!C209+Fuentes!C259+Fuentes!C313</f>
        <v>95</v>
      </c>
      <c r="D157" s="30">
        <f>Fuentes!D209+Fuentes!D259+Fuentes!D313</f>
        <v>132</v>
      </c>
      <c r="E157" s="35">
        <f>Fuentes!E209+Fuentes!E259+Fuentes!E313</f>
        <v>214</v>
      </c>
      <c r="F157" s="28">
        <f>Fuentes!F209+Fuentes!F259+Fuentes!F313</f>
        <v>244</v>
      </c>
      <c r="G157" s="28">
        <f>Fuentes!G209+Fuentes!G259+Fuentes!G313</f>
        <v>145</v>
      </c>
      <c r="H157" s="36">
        <f>Fuentes!H209+Fuentes!H259+Fuentes!H313</f>
        <v>192</v>
      </c>
      <c r="I157" s="28">
        <f>Fuentes!I209+Fuentes!I259+Fuentes!I313</f>
        <v>175</v>
      </c>
      <c r="J157" s="28">
        <f>Fuentes!J209+Fuentes!J259+Fuentes!J313</f>
        <v>143</v>
      </c>
      <c r="K157" s="28">
        <f>Fuentes!K209+Fuentes!K259+Fuentes!K313</f>
        <v>141</v>
      </c>
      <c r="L157" s="28">
        <f>Fuentes!L209+Fuentes!L259+Fuentes!L313</f>
        <v>151</v>
      </c>
      <c r="M157" s="28">
        <f>Fuentes!M209+Fuentes!M259+Fuentes!M313</f>
        <v>127</v>
      </c>
      <c r="N157" s="28">
        <f>Fuentes!N209+Fuentes!N259+Fuentes!N313</f>
        <v>188</v>
      </c>
      <c r="O157" s="28">
        <f>Fuentes!O209+Fuentes!O259+Fuentes!O313</f>
        <v>45</v>
      </c>
      <c r="P157" s="28">
        <f>Fuentes!P209+Fuentes!P259+Fuentes!P313</f>
        <v>0</v>
      </c>
      <c r="Q157" s="28">
        <f>Fuentes!Q209+Fuentes!Q259+Fuentes!Q313</f>
        <v>0</v>
      </c>
      <c r="R157" s="28">
        <f>Fuentes!R209+Fuentes!R259+Fuentes!R313</f>
        <v>0</v>
      </c>
      <c r="S157" s="28">
        <f>Fuentes!S209+Fuentes!S259+Fuentes!S313</f>
        <v>0</v>
      </c>
      <c r="T157" s="28">
        <f>Fuentes!T209+Fuentes!T259+Fuentes!T313</f>
        <v>0</v>
      </c>
      <c r="U157" s="28">
        <f>Fuentes!U209+Fuentes!U259+Fuentes!U313</f>
        <v>0</v>
      </c>
      <c r="V157" s="28">
        <f>Fuentes!V209+Fuentes!V259+Fuentes!V313</f>
        <v>0</v>
      </c>
    </row>
    <row r="158" spans="1:22" s="14" customFormat="1" ht="12.75" x14ac:dyDescent="0.2">
      <c r="A158" s="28" t="s">
        <v>3092</v>
      </c>
      <c r="B158" s="29" t="s">
        <v>3143</v>
      </c>
      <c r="C158" s="29">
        <f>Fuentes!C1057+Fuentes!C1058+Fuentes!C1059</f>
        <v>0</v>
      </c>
      <c r="D158" s="30">
        <f>Fuentes!D1057+Fuentes!D1058+Fuentes!D1059</f>
        <v>0</v>
      </c>
      <c r="E158" s="35">
        <f>Fuentes!E1057+Fuentes!E1058+Fuentes!E1059</f>
        <v>0</v>
      </c>
      <c r="F158" s="28">
        <f>Fuentes!F1057+Fuentes!F1058+Fuentes!F1059</f>
        <v>0</v>
      </c>
      <c r="G158" s="28">
        <f>Fuentes!G1057+Fuentes!G1058+Fuentes!G1059</f>
        <v>0</v>
      </c>
      <c r="H158" s="28">
        <f>Fuentes!H1057+Fuentes!H1058+Fuentes!H1059</f>
        <v>0</v>
      </c>
      <c r="I158" s="28">
        <f>Fuentes!I1057+Fuentes!I1058+Fuentes!I1059</f>
        <v>0</v>
      </c>
      <c r="J158" s="28">
        <f>Fuentes!J1057+Fuentes!J1058+Fuentes!J1059</f>
        <v>0</v>
      </c>
      <c r="K158" s="28">
        <f>Fuentes!K1057+Fuentes!K1058+Fuentes!K1059</f>
        <v>0</v>
      </c>
      <c r="L158" s="28">
        <f>Fuentes!L1057+Fuentes!L1058+Fuentes!L1059</f>
        <v>0</v>
      </c>
      <c r="M158" s="28">
        <f>Fuentes!M1057+Fuentes!M1058+Fuentes!M1059</f>
        <v>0</v>
      </c>
      <c r="N158" s="36">
        <f>Fuentes!N1057+Fuentes!N1058+Fuentes!N1059</f>
        <v>0</v>
      </c>
      <c r="O158" s="28">
        <f>Fuentes!O1057+Fuentes!O1058+Fuentes!O1059</f>
        <v>231</v>
      </c>
      <c r="P158" s="28">
        <f>Fuentes!P1057+Fuentes!P1058+Fuentes!P1059</f>
        <v>387</v>
      </c>
      <c r="Q158" s="28">
        <f>Fuentes!Q1057+Fuentes!Q1058+Fuentes!Q1059</f>
        <v>608</v>
      </c>
      <c r="R158" s="28">
        <f>Fuentes!R1057+Fuentes!R1058+Fuentes!R1059</f>
        <v>1624</v>
      </c>
      <c r="S158" s="28">
        <f>Fuentes!S1057+Fuentes!S1058+Fuentes!S1059</f>
        <v>2199</v>
      </c>
      <c r="T158" s="28">
        <f>Fuentes!T1057+Fuentes!T1058+Fuentes!T1059</f>
        <v>2423</v>
      </c>
      <c r="U158" s="28">
        <f>Fuentes!U1057+Fuentes!U1058+Fuentes!U1059</f>
        <v>2817</v>
      </c>
      <c r="V158" s="28">
        <f>Fuentes!V1057+Fuentes!V1058+Fuentes!V1059</f>
        <v>3314</v>
      </c>
    </row>
    <row r="159" spans="1:22" s="14" customFormat="1" ht="12.75" x14ac:dyDescent="0.2">
      <c r="A159" s="28" t="s">
        <v>3092</v>
      </c>
      <c r="B159" s="29" t="s">
        <v>3144</v>
      </c>
      <c r="C159" s="29" t="s">
        <v>1078</v>
      </c>
      <c r="D159" s="30" t="s">
        <v>1078</v>
      </c>
      <c r="E159" s="35" t="s">
        <v>1078</v>
      </c>
      <c r="F159" s="28" t="s">
        <v>1078</v>
      </c>
      <c r="G159" s="28" t="s">
        <v>1078</v>
      </c>
      <c r="H159" s="36" t="s">
        <v>1078</v>
      </c>
      <c r="I159" s="28" t="s">
        <v>1078</v>
      </c>
      <c r="J159" s="28" t="s">
        <v>1078</v>
      </c>
      <c r="K159" s="28" t="s">
        <v>1078</v>
      </c>
      <c r="L159" s="28" t="s">
        <v>1078</v>
      </c>
      <c r="M159" s="28" t="s">
        <v>1078</v>
      </c>
      <c r="N159" s="28" t="s">
        <v>1078</v>
      </c>
      <c r="O159" s="28" t="s">
        <v>1078</v>
      </c>
      <c r="P159" s="28" t="s">
        <v>1078</v>
      </c>
      <c r="Q159" s="28" t="s">
        <v>1078</v>
      </c>
      <c r="R159" s="28" t="s">
        <v>1078</v>
      </c>
      <c r="S159" s="28" t="s">
        <v>1078</v>
      </c>
      <c r="T159" s="28" t="s">
        <v>1078</v>
      </c>
      <c r="U159" s="28" t="s">
        <v>1078</v>
      </c>
      <c r="V159" s="28" t="s">
        <v>1078</v>
      </c>
    </row>
    <row r="160" spans="1:22" s="14" customFormat="1" ht="12.75" x14ac:dyDescent="0.2">
      <c r="A160" s="28" t="s">
        <v>3092</v>
      </c>
      <c r="B160" s="29" t="s">
        <v>3145</v>
      </c>
      <c r="C160" s="29">
        <f>Fuentes!C211+Fuentes!C261+Fuentes!C315</f>
        <v>39961</v>
      </c>
      <c r="D160" s="30">
        <f>Fuentes!D211+Fuentes!D261+Fuentes!D315</f>
        <v>41070</v>
      </c>
      <c r="E160" s="35">
        <f>Fuentes!E211+Fuentes!E261+Fuentes!E315</f>
        <v>42904</v>
      </c>
      <c r="F160" s="28">
        <f>Fuentes!F211+Fuentes!F261+Fuentes!F315</f>
        <v>44235</v>
      </c>
      <c r="G160" s="28">
        <f>Fuentes!G211+Fuentes!G261+Fuentes!G315</f>
        <v>46099</v>
      </c>
      <c r="H160" s="28">
        <f>Fuentes!H211+Fuentes!H261+Fuentes!H315</f>
        <v>45397</v>
      </c>
      <c r="I160" s="28">
        <f>Fuentes!I211+Fuentes!I261+Fuentes!I315</f>
        <v>44825</v>
      </c>
      <c r="J160" s="28">
        <f>Fuentes!J211+Fuentes!J261+Fuentes!J315</f>
        <v>44704</v>
      </c>
      <c r="K160" s="28">
        <f>Fuentes!K211+Fuentes!K261+Fuentes!K315</f>
        <v>50590</v>
      </c>
      <c r="L160" s="28">
        <f>Fuentes!L211+Fuentes!L261+Fuentes!L315</f>
        <v>56828</v>
      </c>
      <c r="M160" s="28">
        <f>Fuentes!M211+Fuentes!M261+Fuentes!M315</f>
        <v>57457</v>
      </c>
      <c r="N160" s="36">
        <f>Fuentes!N211+Fuentes!N261+Fuentes!N315</f>
        <v>53410</v>
      </c>
      <c r="O160" s="28">
        <f>Fuentes!O211+Fuentes!O261+Fuentes!O315</f>
        <v>52402</v>
      </c>
      <c r="P160" s="28">
        <f>Fuentes!P211+Fuentes!P261+Fuentes!P315</f>
        <v>51308</v>
      </c>
      <c r="Q160" s="28">
        <f>Fuentes!Q211+Fuentes!Q261+Fuentes!Q315</f>
        <v>47627</v>
      </c>
      <c r="R160" s="28">
        <f>Fuentes!R211+Fuentes!R261+Fuentes!R315</f>
        <v>48655</v>
      </c>
      <c r="S160" s="28">
        <f>Fuentes!S211+Fuentes!S261+Fuentes!S315</f>
        <v>47754</v>
      </c>
      <c r="T160" s="28">
        <f>Fuentes!T211+Fuentes!T261+Fuentes!T315</f>
        <v>49063</v>
      </c>
      <c r="U160" s="28">
        <f>Fuentes!U211+Fuentes!U261+Fuentes!U315</f>
        <v>48747</v>
      </c>
      <c r="V160" s="28">
        <f>Fuentes!V211+Fuentes!V261+Fuentes!V315</f>
        <v>42175</v>
      </c>
    </row>
    <row r="161" spans="1:22" s="14" customFormat="1" ht="12.75" x14ac:dyDescent="0.2">
      <c r="A161" s="28" t="s">
        <v>3092</v>
      </c>
      <c r="B161" s="29" t="s">
        <v>3146</v>
      </c>
      <c r="C161" s="29">
        <f>Fuentes!C212+Fuentes!C262+Fuentes!C316</f>
        <v>63269</v>
      </c>
      <c r="D161" s="30">
        <f>Fuentes!D212+Fuentes!D262+Fuentes!D316</f>
        <v>63269</v>
      </c>
      <c r="E161" s="35">
        <f>Fuentes!E212+Fuentes!E262+Fuentes!E316</f>
        <v>112260</v>
      </c>
      <c r="F161" s="28">
        <f>Fuentes!F212+Fuentes!F262+Fuentes!F316</f>
        <v>121400</v>
      </c>
      <c r="G161" s="28">
        <f>Fuentes!G212+Fuentes!G262+Fuentes!G316</f>
        <v>130800</v>
      </c>
      <c r="H161" s="36">
        <f>Fuentes!H212+Fuentes!H262+Fuentes!H316</f>
        <v>126154</v>
      </c>
      <c r="I161" s="28">
        <f>Fuentes!I212+Fuentes!I262+Fuentes!I316</f>
        <v>131538</v>
      </c>
      <c r="J161" s="28">
        <f>Fuentes!J212+Fuentes!J262+Fuentes!J316</f>
        <v>131088</v>
      </c>
      <c r="K161" s="28">
        <f>Fuentes!K212+Fuentes!K262+Fuentes!K316</f>
        <v>124847</v>
      </c>
      <c r="L161" s="28">
        <f>Fuentes!L212+Fuentes!L262+Fuentes!L316</f>
        <v>141836</v>
      </c>
      <c r="M161" s="28">
        <f>Fuentes!M212+Fuentes!M262+Fuentes!M316</f>
        <v>143921</v>
      </c>
      <c r="N161" s="28">
        <f>Fuentes!N212+Fuentes!N262+Fuentes!N316</f>
        <v>174415</v>
      </c>
      <c r="O161" s="28">
        <f>Fuentes!O212+Fuentes!O262+Fuentes!O316</f>
        <v>190160</v>
      </c>
      <c r="P161" s="28">
        <f>Fuentes!P212+Fuentes!P262+Fuentes!P316</f>
        <v>205846</v>
      </c>
      <c r="Q161" s="28">
        <f>Fuentes!Q212+Fuentes!Q262+Fuentes!Q316</f>
        <v>208704</v>
      </c>
      <c r="R161" s="28">
        <f>Fuentes!R212+Fuentes!R262+Fuentes!R316</f>
        <v>220081</v>
      </c>
      <c r="S161" s="28">
        <f>Fuentes!S212+Fuentes!S262+Fuentes!S316</f>
        <v>213270</v>
      </c>
      <c r="T161" s="28">
        <f>Fuentes!T212+Fuentes!T262+Fuentes!T316</f>
        <v>205006</v>
      </c>
      <c r="U161" s="28">
        <f>Fuentes!U212+Fuentes!U262+Fuentes!U316</f>
        <v>203958</v>
      </c>
      <c r="V161" s="28">
        <f>Fuentes!V212+Fuentes!V262+Fuentes!V316</f>
        <v>220900</v>
      </c>
    </row>
    <row r="162" spans="1:22" s="14" customFormat="1" ht="12.75" x14ac:dyDescent="0.2">
      <c r="A162" s="28" t="s">
        <v>3092</v>
      </c>
      <c r="B162" s="29" t="s">
        <v>3147</v>
      </c>
      <c r="C162" s="29">
        <f>Fuentes!C213+Fuentes!C263+Fuentes!C317</f>
        <v>0</v>
      </c>
      <c r="D162" s="30">
        <f>Fuentes!D213+Fuentes!D263+Fuentes!D317</f>
        <v>0</v>
      </c>
      <c r="E162" s="35">
        <f>Fuentes!E213+Fuentes!E263+Fuentes!E317</f>
        <v>0</v>
      </c>
      <c r="F162" s="28">
        <f>Fuentes!F213+Fuentes!F263+Fuentes!F317</f>
        <v>0</v>
      </c>
      <c r="G162" s="28">
        <f>Fuentes!G213+Fuentes!G263+Fuentes!G317</f>
        <v>0</v>
      </c>
      <c r="H162" s="28">
        <f>Fuentes!H213+Fuentes!H263+Fuentes!H317</f>
        <v>0</v>
      </c>
      <c r="I162" s="28">
        <f>Fuentes!I213+Fuentes!I263+Fuentes!I317</f>
        <v>0</v>
      </c>
      <c r="J162" s="28">
        <f>Fuentes!J213+Fuentes!J263+Fuentes!J317</f>
        <v>0</v>
      </c>
      <c r="K162" s="28">
        <f>Fuentes!K213+Fuentes!K263+Fuentes!K317</f>
        <v>0</v>
      </c>
      <c r="L162" s="28">
        <f>Fuentes!L213+Fuentes!L263+Fuentes!L317</f>
        <v>0</v>
      </c>
      <c r="M162" s="28">
        <f>Fuentes!M213+Fuentes!M263+Fuentes!M317</f>
        <v>0</v>
      </c>
      <c r="N162" s="36">
        <f>Fuentes!N213+Fuentes!N263+Fuentes!N317</f>
        <v>0</v>
      </c>
      <c r="O162" s="28">
        <f>Fuentes!O213+Fuentes!O263+Fuentes!O317</f>
        <v>0</v>
      </c>
      <c r="P162" s="28">
        <f>Fuentes!P213+Fuentes!P263+Fuentes!P317</f>
        <v>0</v>
      </c>
      <c r="Q162" s="28">
        <f>Fuentes!Q213+Fuentes!Q263+Fuentes!Q317</f>
        <v>0</v>
      </c>
      <c r="R162" s="28">
        <f>Fuentes!R213+Fuentes!R263+Fuentes!R317</f>
        <v>0</v>
      </c>
      <c r="S162" s="28">
        <f>Fuentes!S213+Fuentes!S263+Fuentes!S317</f>
        <v>0</v>
      </c>
      <c r="T162" s="28">
        <f>Fuentes!T213+Fuentes!T263+Fuentes!T317</f>
        <v>6985</v>
      </c>
      <c r="U162" s="28">
        <f>Fuentes!U213+Fuentes!U263+Fuentes!U317</f>
        <v>24630</v>
      </c>
      <c r="V162" s="28">
        <f>Fuentes!V213+Fuentes!V263+Fuentes!V317</f>
        <v>37895</v>
      </c>
    </row>
    <row r="163" spans="1:22" s="14" customFormat="1" ht="12.75" x14ac:dyDescent="0.2">
      <c r="A163" s="28" t="s">
        <v>3092</v>
      </c>
      <c r="B163" s="29" t="s">
        <v>3148</v>
      </c>
      <c r="C163" s="29">
        <f>Fuentes!C214+Fuentes!C264+Fuentes!C318</f>
        <v>0</v>
      </c>
      <c r="D163" s="30">
        <f>Fuentes!D214+Fuentes!D264+Fuentes!D318</f>
        <v>0</v>
      </c>
      <c r="E163" s="35">
        <f>Fuentes!E214+Fuentes!E264+Fuentes!E318</f>
        <v>0</v>
      </c>
      <c r="F163" s="28">
        <f>Fuentes!F214+Fuentes!F264+Fuentes!F318</f>
        <v>0</v>
      </c>
      <c r="G163" s="28">
        <f>Fuentes!G214+Fuentes!G264+Fuentes!G318</f>
        <v>0</v>
      </c>
      <c r="H163" s="36">
        <f>Fuentes!H214+Fuentes!H264+Fuentes!H318</f>
        <v>0</v>
      </c>
      <c r="I163" s="28">
        <f>Fuentes!I214+Fuentes!I264+Fuentes!I318</f>
        <v>0</v>
      </c>
      <c r="J163" s="28">
        <f>Fuentes!J214+Fuentes!J264+Fuentes!J318</f>
        <v>0</v>
      </c>
      <c r="K163" s="28">
        <f>Fuentes!K214+Fuentes!K264+Fuentes!K318</f>
        <v>0</v>
      </c>
      <c r="L163" s="28">
        <f>Fuentes!L214+Fuentes!L264+Fuentes!L318</f>
        <v>0</v>
      </c>
      <c r="M163" s="28">
        <f>Fuentes!M214+Fuentes!M264+Fuentes!M318</f>
        <v>0</v>
      </c>
      <c r="N163" s="28">
        <f>Fuentes!N214+Fuentes!N264+Fuentes!N318</f>
        <v>9772</v>
      </c>
      <c r="O163" s="28">
        <f>Fuentes!O214+Fuentes!O264+Fuentes!O318</f>
        <v>9022</v>
      </c>
      <c r="P163" s="28">
        <f>Fuentes!P214+Fuentes!P264+Fuentes!P318</f>
        <v>11780</v>
      </c>
      <c r="Q163" s="28">
        <f>Fuentes!Q214+Fuentes!Q264+Fuentes!Q318</f>
        <v>12390</v>
      </c>
      <c r="R163" s="28">
        <f>Fuentes!R214+Fuentes!R264+Fuentes!R318</f>
        <v>16500</v>
      </c>
      <c r="S163" s="28">
        <f>Fuentes!S214+Fuentes!S264+Fuentes!S318</f>
        <v>21801</v>
      </c>
      <c r="T163" s="28">
        <f>Fuentes!T214+Fuentes!T264+Fuentes!T318</f>
        <v>24277</v>
      </c>
      <c r="U163" s="28">
        <f>Fuentes!U214+Fuentes!U264+Fuentes!U318</f>
        <v>23972</v>
      </c>
      <c r="V163" s="28">
        <f>Fuentes!V214+Fuentes!V264+Fuentes!V318</f>
        <v>22565</v>
      </c>
    </row>
    <row r="164" spans="1:22" s="14" customFormat="1" ht="12.75" x14ac:dyDescent="0.2">
      <c r="A164" s="28" t="s">
        <v>3092</v>
      </c>
      <c r="B164" s="29" t="s">
        <v>3149</v>
      </c>
      <c r="C164" s="29"/>
      <c r="D164" s="30">
        <f t="shared" ref="D164:V164" si="14">(D115-C115)/C115*100</f>
        <v>12.509859157474573</v>
      </c>
      <c r="E164" s="35">
        <f t="shared" si="14"/>
        <v>7.8482104355325575</v>
      </c>
      <c r="F164" s="28">
        <f t="shared" si="14"/>
        <v>-4.1785148138137673</v>
      </c>
      <c r="G164" s="28">
        <f t="shared" si="14"/>
        <v>4.107021581794644</v>
      </c>
      <c r="H164" s="28">
        <f t="shared" si="14"/>
        <v>-30.019286863735022</v>
      </c>
      <c r="I164" s="28">
        <f t="shared" si="14"/>
        <v>-1.8226672440383882</v>
      </c>
      <c r="J164" s="28">
        <f t="shared" si="14"/>
        <v>5.5842901575568744</v>
      </c>
      <c r="K164" s="28">
        <f t="shared" si="14"/>
        <v>5.9845909438870004</v>
      </c>
      <c r="L164" s="28">
        <f t="shared" si="14"/>
        <v>16.768440673358835</v>
      </c>
      <c r="M164" s="28">
        <f t="shared" si="14"/>
        <v>19.74268052893909</v>
      </c>
      <c r="N164" s="36">
        <f t="shared" si="14"/>
        <v>2.1551858813106364</v>
      </c>
      <c r="O164" s="28">
        <f t="shared" si="14"/>
        <v>-3.4140177953043831</v>
      </c>
      <c r="P164" s="28">
        <f t="shared" si="14"/>
        <v>6.2677992508393396</v>
      </c>
      <c r="Q164" s="28">
        <f t="shared" si="14"/>
        <v>5.7495202387085582</v>
      </c>
      <c r="R164" s="28">
        <f t="shared" si="14"/>
        <v>3.2573322537761018</v>
      </c>
      <c r="S164" s="28">
        <f t="shared" si="14"/>
        <v>4.6859583169847339</v>
      </c>
      <c r="T164" s="28">
        <f t="shared" si="14"/>
        <v>0.41257323001044466</v>
      </c>
      <c r="U164" s="28">
        <f t="shared" si="14"/>
        <v>9.0968932611267945</v>
      </c>
      <c r="V164" s="28">
        <f t="shared" si="14"/>
        <v>7.9275828206973609</v>
      </c>
    </row>
    <row r="165" spans="1:22" s="14" customFormat="1" ht="12.75" x14ac:dyDescent="0.2">
      <c r="A165" s="28" t="s">
        <v>3092</v>
      </c>
      <c r="B165" s="29" t="s">
        <v>3150</v>
      </c>
      <c r="C165" s="29"/>
      <c r="D165" s="30">
        <f t="shared" ref="D165:S210" si="15">(D116-C116)/C116*100</f>
        <v>12.272854012778241</v>
      </c>
      <c r="E165" s="35">
        <f t="shared" si="15"/>
        <v>7.9180597003915389</v>
      </c>
      <c r="F165" s="28">
        <f t="shared" si="15"/>
        <v>-7.5067746972652101</v>
      </c>
      <c r="G165" s="28">
        <f t="shared" si="15"/>
        <v>2.5901915299817295</v>
      </c>
      <c r="H165" s="36">
        <f t="shared" si="15"/>
        <v>-33.339629845145829</v>
      </c>
      <c r="I165" s="28">
        <f t="shared" si="15"/>
        <v>-2.3290355581064173</v>
      </c>
      <c r="J165" s="28">
        <f t="shared" si="15"/>
        <v>5.4868416361685046</v>
      </c>
      <c r="K165" s="28">
        <f t="shared" si="15"/>
        <v>6.5769769097823128</v>
      </c>
      <c r="L165" s="28">
        <f t="shared" si="15"/>
        <v>18.244534742330266</v>
      </c>
      <c r="M165" s="28">
        <f t="shared" si="15"/>
        <v>23.834536612071382</v>
      </c>
      <c r="N165" s="28">
        <f t="shared" si="15"/>
        <v>-0.15488176263511083</v>
      </c>
      <c r="O165" s="28">
        <f t="shared" si="15"/>
        <v>-4.2627141716005541</v>
      </c>
      <c r="P165" s="28">
        <f t="shared" si="15"/>
        <v>0.15804452902652227</v>
      </c>
      <c r="Q165" s="28">
        <f t="shared" si="15"/>
        <v>4.4227100204205474</v>
      </c>
      <c r="R165" s="28">
        <f t="shared" si="15"/>
        <v>1.5318100636193801</v>
      </c>
      <c r="S165" s="28">
        <f t="shared" si="15"/>
        <v>2.9599411440132428</v>
      </c>
      <c r="T165" s="28">
        <f t="shared" ref="E165:V179" si="16">(T116-S116)/S116*100</f>
        <v>-0.33776758988855171</v>
      </c>
      <c r="U165" s="28">
        <f t="shared" si="16"/>
        <v>8.8649197422344841</v>
      </c>
      <c r="V165" s="28">
        <f t="shared" si="16"/>
        <v>8.5415569020021085</v>
      </c>
    </row>
    <row r="166" spans="1:22" s="14" customFormat="1" ht="12.75" x14ac:dyDescent="0.2">
      <c r="A166" s="28" t="s">
        <v>3092</v>
      </c>
      <c r="B166" s="29" t="s">
        <v>3151</v>
      </c>
      <c r="C166" s="29"/>
      <c r="D166" s="30">
        <f t="shared" si="15"/>
        <v>11.200824916909875</v>
      </c>
      <c r="E166" s="35">
        <f t="shared" si="16"/>
        <v>7.1085472845240361</v>
      </c>
      <c r="F166" s="28">
        <f t="shared" si="16"/>
        <v>-2.3107044646865842</v>
      </c>
      <c r="G166" s="28">
        <f t="shared" si="16"/>
        <v>5.0451187065421301</v>
      </c>
      <c r="H166" s="28">
        <f t="shared" si="16"/>
        <v>-26.172220000790926</v>
      </c>
      <c r="I166" s="28">
        <f t="shared" si="16"/>
        <v>-2.2368351690210062</v>
      </c>
      <c r="J166" s="28">
        <f t="shared" si="16"/>
        <v>5.1245501461970502</v>
      </c>
      <c r="K166" s="28">
        <f t="shared" si="16"/>
        <v>8.1628736015407775</v>
      </c>
      <c r="L166" s="28">
        <f t="shared" si="16"/>
        <v>19.176936979935125</v>
      </c>
      <c r="M166" s="28">
        <f t="shared" si="16"/>
        <v>16.331499939029477</v>
      </c>
      <c r="N166" s="36">
        <f t="shared" si="16"/>
        <v>2.3775292453475565</v>
      </c>
      <c r="O166" s="28">
        <f t="shared" si="16"/>
        <v>-8.8860699329791437</v>
      </c>
      <c r="P166" s="28">
        <f t="shared" si="16"/>
        <v>4.9285157911110353</v>
      </c>
      <c r="Q166" s="28">
        <f t="shared" si="16"/>
        <v>5.0935560310327803</v>
      </c>
      <c r="R166" s="28">
        <f t="shared" si="16"/>
        <v>1.591105342479713</v>
      </c>
      <c r="S166" s="28">
        <f t="shared" si="16"/>
        <v>3.5757350503337637</v>
      </c>
      <c r="T166" s="28">
        <f t="shared" si="16"/>
        <v>0.64799891532943299</v>
      </c>
      <c r="U166" s="28">
        <f t="shared" si="16"/>
        <v>9.0772860717543153</v>
      </c>
      <c r="V166" s="28">
        <f t="shared" si="16"/>
        <v>8.760914813038486</v>
      </c>
    </row>
    <row r="167" spans="1:22" s="14" customFormat="1" ht="12.75" x14ac:dyDescent="0.2">
      <c r="A167" s="28" t="s">
        <v>3092</v>
      </c>
      <c r="B167" s="29" t="s">
        <v>3152</v>
      </c>
      <c r="C167" s="29"/>
      <c r="D167" s="30">
        <f t="shared" si="15"/>
        <v>12.837394811983502</v>
      </c>
      <c r="E167" s="35">
        <f t="shared" si="16"/>
        <v>7.8699625018856176</v>
      </c>
      <c r="F167" s="28">
        <f t="shared" si="16"/>
        <v>-5.3124058744286264</v>
      </c>
      <c r="G167" s="28">
        <f t="shared" si="16"/>
        <v>1.8562569693749496</v>
      </c>
      <c r="H167" s="36">
        <f t="shared" si="16"/>
        <v>-35.253484886313814</v>
      </c>
      <c r="I167" s="28">
        <f t="shared" si="16"/>
        <v>-2.7856917584762044</v>
      </c>
      <c r="J167" s="28">
        <f t="shared" si="16"/>
        <v>6.1818107467081056</v>
      </c>
      <c r="K167" s="28">
        <f t="shared" si="16"/>
        <v>4.4914380638046865</v>
      </c>
      <c r="L167" s="28">
        <f t="shared" si="16"/>
        <v>15.12571901744316</v>
      </c>
      <c r="M167" s="28">
        <f t="shared" si="16"/>
        <v>23.921457727503135</v>
      </c>
      <c r="N167" s="28">
        <f t="shared" si="16"/>
        <v>-0.99910698677358711</v>
      </c>
      <c r="O167" s="28">
        <f t="shared" si="16"/>
        <v>1.8481518047032317</v>
      </c>
      <c r="P167" s="28">
        <f t="shared" si="16"/>
        <v>8.3858151376483718</v>
      </c>
      <c r="Q167" s="28">
        <f t="shared" si="16"/>
        <v>7.6573396266557401</v>
      </c>
      <c r="R167" s="28">
        <f t="shared" si="16"/>
        <v>4.2032663200724318</v>
      </c>
      <c r="S167" s="28">
        <f t="shared" si="16"/>
        <v>6.2538193434732952</v>
      </c>
      <c r="T167" s="28">
        <f t="shared" si="16"/>
        <v>1.3415675728560965</v>
      </c>
      <c r="U167" s="28">
        <f t="shared" si="16"/>
        <v>10.156151133527549</v>
      </c>
      <c r="V167" s="28">
        <f t="shared" si="16"/>
        <v>7.0649779474813696</v>
      </c>
    </row>
    <row r="168" spans="1:22" s="14" customFormat="1" ht="12.75" x14ac:dyDescent="0.2">
      <c r="A168" s="28" t="s">
        <v>3092</v>
      </c>
      <c r="B168" s="29" t="s">
        <v>3153</v>
      </c>
      <c r="C168" s="29"/>
      <c r="D168" s="30">
        <f t="shared" si="15"/>
        <v>-2.02073350245858</v>
      </c>
      <c r="E168" s="35">
        <f t="shared" si="16"/>
        <v>2.3066251542331813</v>
      </c>
      <c r="F168" s="28">
        <f t="shared" si="16"/>
        <v>5.5259424972035971</v>
      </c>
      <c r="G168" s="28">
        <f t="shared" si="16"/>
        <v>4.2831764078877237</v>
      </c>
      <c r="H168" s="28">
        <f t="shared" si="16"/>
        <v>-2.8091514624963803</v>
      </c>
      <c r="I168" s="28">
        <f t="shared" si="16"/>
        <v>4.3772932295683473</v>
      </c>
      <c r="J168" s="28">
        <f t="shared" si="16"/>
        <v>13.576978191751376</v>
      </c>
      <c r="K168" s="28">
        <f t="shared" si="16"/>
        <v>12.762255856246583</v>
      </c>
      <c r="L168" s="28">
        <f t="shared" si="16"/>
        <v>54.557295081250714</v>
      </c>
      <c r="M168" s="28">
        <f t="shared" si="16"/>
        <v>23.524704205596905</v>
      </c>
      <c r="N168" s="36">
        <f t="shared" si="16"/>
        <v>-38.999526113004876</v>
      </c>
      <c r="O168" s="28">
        <f t="shared" si="16"/>
        <v>-28.775266646150609</v>
      </c>
      <c r="P168" s="28">
        <f t="shared" si="16"/>
        <v>-24.396155629557814</v>
      </c>
      <c r="Q168" s="28">
        <f t="shared" si="16"/>
        <v>-1.1401968163697696</v>
      </c>
      <c r="R168" s="28">
        <f t="shared" si="16"/>
        <v>-14.049545992893803</v>
      </c>
      <c r="S168" s="28">
        <f t="shared" si="16"/>
        <v>-7.0809307819125813</v>
      </c>
      <c r="T168" s="28">
        <f t="shared" si="16"/>
        <v>-9.1238105326342183</v>
      </c>
      <c r="U168" s="28">
        <f t="shared" si="16"/>
        <v>2.5886352598348714</v>
      </c>
      <c r="V168" s="28">
        <f t="shared" si="16"/>
        <v>-10.053496188988307</v>
      </c>
    </row>
    <row r="169" spans="1:22" s="14" customFormat="1" ht="12.75" x14ac:dyDescent="0.2">
      <c r="A169" s="28" t="s">
        <v>3092</v>
      </c>
      <c r="B169" s="29" t="s">
        <v>3154</v>
      </c>
      <c r="C169" s="29"/>
      <c r="D169" s="30"/>
      <c r="E169" s="35"/>
      <c r="F169" s="28"/>
      <c r="G169" s="28"/>
      <c r="H169" s="36"/>
      <c r="I169" s="28"/>
      <c r="J169" s="28"/>
      <c r="K169" s="28"/>
      <c r="L169" s="28"/>
      <c r="M169" s="28"/>
      <c r="N169" s="28">
        <f t="shared" si="16"/>
        <v>105.79363967497899</v>
      </c>
      <c r="O169" s="28">
        <f t="shared" si="16"/>
        <v>28.94744903690038</v>
      </c>
      <c r="P169" s="28">
        <f t="shared" si="16"/>
        <v>32.377598749854819</v>
      </c>
      <c r="Q169" s="28">
        <f t="shared" si="16"/>
        <v>12.400746569251078</v>
      </c>
      <c r="R169" s="28">
        <f t="shared" si="16"/>
        <v>6.1165584202468413</v>
      </c>
      <c r="S169" s="28">
        <f t="shared" si="16"/>
        <v>14.442767081103582</v>
      </c>
      <c r="T169" s="28">
        <f t="shared" si="16"/>
        <v>7.0472367329289813</v>
      </c>
      <c r="U169" s="28">
        <f t="shared" si="16"/>
        <v>21.287292199444867</v>
      </c>
      <c r="V169" s="28">
        <f t="shared" si="16"/>
        <v>10.863019894552794</v>
      </c>
    </row>
    <row r="170" spans="1:22" s="14" customFormat="1" ht="12.75" x14ac:dyDescent="0.2">
      <c r="A170" s="28" t="s">
        <v>3092</v>
      </c>
      <c r="B170" s="29" t="s">
        <v>3155</v>
      </c>
      <c r="C170" s="29"/>
      <c r="D170" s="30"/>
      <c r="E170" s="35">
        <f t="shared" si="16"/>
        <v>1.6002000250031254</v>
      </c>
      <c r="F170" s="28">
        <f t="shared" si="16"/>
        <v>-2.2271440876092039</v>
      </c>
      <c r="G170" s="28">
        <f t="shared" si="16"/>
        <v>3.6244651396929268</v>
      </c>
      <c r="H170" s="28">
        <f t="shared" si="16"/>
        <v>4.663589992713141</v>
      </c>
      <c r="I170" s="28">
        <f t="shared" si="16"/>
        <v>0.63819911812485497</v>
      </c>
      <c r="J170" s="28">
        <f t="shared" si="16"/>
        <v>6.8257811599215952</v>
      </c>
      <c r="K170" s="28">
        <f t="shared" si="16"/>
        <v>12.984349703184025</v>
      </c>
      <c r="L170" s="28">
        <f t="shared" si="16"/>
        <v>25.448987390141379</v>
      </c>
      <c r="M170" s="28">
        <f t="shared" si="16"/>
        <v>-0.906183368869936</v>
      </c>
      <c r="N170" s="36">
        <f t="shared" si="16"/>
        <v>3.796203796203796</v>
      </c>
      <c r="O170" s="28">
        <f t="shared" si="16"/>
        <v>-7.025986525505294</v>
      </c>
      <c r="P170" s="28">
        <f t="shared" si="16"/>
        <v>0.58130275521579866</v>
      </c>
      <c r="Q170" s="28">
        <f t="shared" si="16"/>
        <v>0.90254136647929706</v>
      </c>
      <c r="R170" s="28">
        <f t="shared" si="16"/>
        <v>-3.0600235386426049</v>
      </c>
      <c r="S170" s="28">
        <f t="shared" si="16"/>
        <v>-5.8356940509915018</v>
      </c>
      <c r="T170" s="28">
        <f t="shared" si="16"/>
        <v>-5.0025786487880346</v>
      </c>
      <c r="U170" s="28">
        <f t="shared" si="16"/>
        <v>2.0448787549764749</v>
      </c>
      <c r="V170" s="28">
        <f t="shared" si="16"/>
        <v>8.5032807235325407</v>
      </c>
    </row>
    <row r="171" spans="1:22" s="14" customFormat="1" ht="12.75" x14ac:dyDescent="0.2">
      <c r="A171" s="28" t="s">
        <v>3092</v>
      </c>
      <c r="B171" s="29" t="s">
        <v>3156</v>
      </c>
      <c r="C171" s="29"/>
      <c r="D171" s="30">
        <f t="shared" si="15"/>
        <v>9.5048908954100835</v>
      </c>
      <c r="E171" s="35">
        <f t="shared" si="16"/>
        <v>11.018882445097985</v>
      </c>
      <c r="F171" s="28">
        <f t="shared" si="16"/>
        <v>0.71548821548821551</v>
      </c>
      <c r="G171" s="28">
        <f t="shared" si="16"/>
        <v>2.9473218455790171</v>
      </c>
      <c r="H171" s="36">
        <f t="shared" si="16"/>
        <v>-2.2707736389684814</v>
      </c>
      <c r="I171" s="28">
        <f t="shared" si="16"/>
        <v>-3.2006645654670285</v>
      </c>
      <c r="J171" s="28">
        <f t="shared" si="16"/>
        <v>2.2792094702036905</v>
      </c>
      <c r="K171" s="28">
        <f t="shared" si="16"/>
        <v>-2.6084596021914019</v>
      </c>
      <c r="L171" s="28">
        <f t="shared" si="16"/>
        <v>8.5518814139110617</v>
      </c>
      <c r="M171" s="28">
        <f t="shared" si="16"/>
        <v>4.5424836601307188</v>
      </c>
      <c r="N171" s="28">
        <f t="shared" si="16"/>
        <v>0.86187647925691069</v>
      </c>
      <c r="O171" s="28">
        <f t="shared" si="16"/>
        <v>4.3810324980076158</v>
      </c>
      <c r="P171" s="28">
        <f t="shared" si="16"/>
        <v>1.8430149943797585</v>
      </c>
      <c r="Q171" s="28">
        <f t="shared" si="16"/>
        <v>2.7613494377342773</v>
      </c>
      <c r="R171" s="28">
        <f t="shared" si="16"/>
        <v>3.5707048190329509</v>
      </c>
      <c r="S171" s="28">
        <f t="shared" si="16"/>
        <v>1.4146513266024889</v>
      </c>
      <c r="T171" s="28">
        <f t="shared" si="16"/>
        <v>-0.99747255503463172</v>
      </c>
      <c r="U171" s="28">
        <f t="shared" si="16"/>
        <v>-0.19682737654441282</v>
      </c>
      <c r="V171" s="28">
        <f t="shared" si="16"/>
        <v>7.6074434225684886</v>
      </c>
    </row>
    <row r="172" spans="1:22" s="14" customFormat="1" ht="12.75" x14ac:dyDescent="0.2">
      <c r="A172" s="28" t="s">
        <v>3092</v>
      </c>
      <c r="B172" s="29" t="s">
        <v>3157</v>
      </c>
      <c r="C172" s="29"/>
      <c r="D172" s="30">
        <f t="shared" si="15"/>
        <v>6.9733136650127401</v>
      </c>
      <c r="E172" s="35">
        <f t="shared" si="16"/>
        <v>-14.751786385859344</v>
      </c>
      <c r="F172" s="28">
        <f t="shared" si="16"/>
        <v>7.8011837800080874</v>
      </c>
      <c r="G172" s="28">
        <f t="shared" si="16"/>
        <v>15.741909081608293</v>
      </c>
      <c r="H172" s="28">
        <f t="shared" si="16"/>
        <v>6.343734346916527</v>
      </c>
      <c r="I172" s="28">
        <f t="shared" si="16"/>
        <v>17.063338135874986</v>
      </c>
      <c r="J172" s="28">
        <f t="shared" si="16"/>
        <v>-0.19999763316410454</v>
      </c>
      <c r="K172" s="28">
        <f t="shared" si="16"/>
        <v>-4.8522506284684344</v>
      </c>
      <c r="L172" s="28">
        <f t="shared" si="16"/>
        <v>-14.332003988035893</v>
      </c>
      <c r="M172" s="28">
        <f t="shared" si="16"/>
        <v>-9.998545242944429</v>
      </c>
      <c r="N172" s="36">
        <f t="shared" si="16"/>
        <v>-7.8119191168151039</v>
      </c>
      <c r="O172" s="28">
        <f t="shared" si="16"/>
        <v>-16.128975698706036</v>
      </c>
      <c r="P172" s="28">
        <f t="shared" si="16"/>
        <v>-48.370440054353509</v>
      </c>
      <c r="Q172" s="28">
        <f t="shared" si="16"/>
        <v>16.973721504636192</v>
      </c>
      <c r="R172" s="28">
        <f t="shared" si="16"/>
        <v>15.462632836027554</v>
      </c>
      <c r="S172" s="28">
        <f t="shared" si="16"/>
        <v>9.3866171003717476</v>
      </c>
      <c r="T172" s="28">
        <f t="shared" si="16"/>
        <v>6.0953216213994033</v>
      </c>
      <c r="U172" s="28">
        <f t="shared" si="16"/>
        <v>-0.68972643434682646</v>
      </c>
      <c r="V172" s="28">
        <f t="shared" si="16"/>
        <v>-6.617417542399334</v>
      </c>
    </row>
    <row r="173" spans="1:22" s="14" customFormat="1" ht="12.75" x14ac:dyDescent="0.2">
      <c r="A173" s="28" t="s">
        <v>3092</v>
      </c>
      <c r="B173" s="29" t="s">
        <v>3158</v>
      </c>
      <c r="C173" s="29"/>
      <c r="D173" s="30">
        <f t="shared" si="15"/>
        <v>-2.2894757043064407</v>
      </c>
      <c r="E173" s="35">
        <f t="shared" si="16"/>
        <v>-10.425218501423942</v>
      </c>
      <c r="F173" s="28">
        <f t="shared" si="16"/>
        <v>5.1395619093560194</v>
      </c>
      <c r="G173" s="28">
        <f t="shared" si="16"/>
        <v>7.8872182019144548</v>
      </c>
      <c r="H173" s="36">
        <f t="shared" si="16"/>
        <v>-2.103106334448031</v>
      </c>
      <c r="I173" s="28">
        <f t="shared" si="16"/>
        <v>0.6180274459472801</v>
      </c>
      <c r="J173" s="28">
        <f t="shared" si="16"/>
        <v>8.2931041249656587</v>
      </c>
      <c r="K173" s="28">
        <f t="shared" si="16"/>
        <v>0.90968396636706295</v>
      </c>
      <c r="L173" s="28">
        <f t="shared" si="16"/>
        <v>7.0394713213374995</v>
      </c>
      <c r="M173" s="28">
        <f t="shared" si="16"/>
        <v>8.5125658490755978</v>
      </c>
      <c r="N173" s="28">
        <f t="shared" si="16"/>
        <v>10.485466914038343</v>
      </c>
      <c r="O173" s="28">
        <f t="shared" si="16"/>
        <v>4.9760711986790183</v>
      </c>
      <c r="P173" s="28">
        <f t="shared" si="16"/>
        <v>4.9934682342904368</v>
      </c>
      <c r="Q173" s="28">
        <f t="shared" si="16"/>
        <v>3.6298308872073535</v>
      </c>
      <c r="R173" s="28">
        <f t="shared" si="16"/>
        <v>6.2874434901927154</v>
      </c>
      <c r="S173" s="28">
        <f t="shared" si="16"/>
        <v>-0.83338136130482399</v>
      </c>
      <c r="T173" s="28">
        <f t="shared" si="16"/>
        <v>2.9024084061744464</v>
      </c>
      <c r="U173" s="28">
        <f t="shared" si="16"/>
        <v>-4.8774977690926136</v>
      </c>
      <c r="V173" s="28">
        <f t="shared" si="16"/>
        <v>3.8914156107871891</v>
      </c>
    </row>
    <row r="174" spans="1:22" s="14" customFormat="1" ht="12.75" x14ac:dyDescent="0.2">
      <c r="A174" s="28" t="s">
        <v>3092</v>
      </c>
      <c r="B174" s="29" t="s">
        <v>3159</v>
      </c>
      <c r="C174" s="29"/>
      <c r="D174" s="30">
        <f t="shared" si="15"/>
        <v>-8.0495569525692154</v>
      </c>
      <c r="E174" s="35">
        <f t="shared" si="16"/>
        <v>-6.2906995637881682</v>
      </c>
      <c r="F174" s="28">
        <f t="shared" si="16"/>
        <v>-1.8633126150398804</v>
      </c>
      <c r="G174" s="28">
        <f t="shared" si="16"/>
        <v>8.0242467075308852</v>
      </c>
      <c r="H174" s="28">
        <f t="shared" si="16"/>
        <v>-1.3713969376328934</v>
      </c>
      <c r="I174" s="28">
        <f t="shared" si="16"/>
        <v>-4.3614700667168425</v>
      </c>
      <c r="J174" s="28">
        <f t="shared" si="16"/>
        <v>1.4538761137491329</v>
      </c>
      <c r="K174" s="28">
        <f t="shared" si="16"/>
        <v>3.7351108306381637</v>
      </c>
      <c r="L174" s="28">
        <f t="shared" si="16"/>
        <v>-1.3586302168485356</v>
      </c>
      <c r="M174" s="28">
        <f t="shared" si="16"/>
        <v>-0.35461448523082062</v>
      </c>
      <c r="N174" s="36">
        <f t="shared" si="16"/>
        <v>1.6427051769711816</v>
      </c>
      <c r="O174" s="28">
        <f t="shared" si="16"/>
        <v>-0.55436451052277713</v>
      </c>
      <c r="P174" s="28">
        <f t="shared" si="16"/>
        <v>-4.090978671292989</v>
      </c>
      <c r="Q174" s="28">
        <f t="shared" si="16"/>
        <v>-8.0694287424353259</v>
      </c>
      <c r="R174" s="28">
        <f t="shared" si="16"/>
        <v>-2.2410949390896726</v>
      </c>
      <c r="S174" s="28">
        <f t="shared" si="16"/>
        <v>-3.1138539862954904</v>
      </c>
      <c r="T174" s="28">
        <f t="shared" si="16"/>
        <v>-11.44581073856259</v>
      </c>
      <c r="U174" s="28">
        <f t="shared" si="16"/>
        <v>3.3257434623611402</v>
      </c>
      <c r="V174" s="28">
        <f t="shared" si="16"/>
        <v>10.315525876460768</v>
      </c>
    </row>
    <row r="175" spans="1:22" s="14" customFormat="1" ht="12.75" x14ac:dyDescent="0.2">
      <c r="A175" s="28" t="s">
        <v>3092</v>
      </c>
      <c r="B175" s="29" t="s">
        <v>3160</v>
      </c>
      <c r="C175" s="29"/>
      <c r="D175" s="30">
        <f t="shared" si="15"/>
        <v>20.283545614915276</v>
      </c>
      <c r="E175" s="35">
        <f t="shared" si="16"/>
        <v>14.946953795645973</v>
      </c>
      <c r="F175" s="28">
        <f t="shared" si="16"/>
        <v>-12.84839936381314</v>
      </c>
      <c r="G175" s="28">
        <f t="shared" si="16"/>
        <v>-2.4635892786689833</v>
      </c>
      <c r="H175" s="36">
        <f t="shared" si="16"/>
        <v>-71.190320864911754</v>
      </c>
      <c r="I175" s="28">
        <f t="shared" si="16"/>
        <v>-25.289622579508048</v>
      </c>
      <c r="J175" s="28">
        <f t="shared" si="16"/>
        <v>3.6011036027030272</v>
      </c>
      <c r="K175" s="28">
        <f t="shared" si="16"/>
        <v>1.5121808132892827</v>
      </c>
      <c r="L175" s="28">
        <f t="shared" si="16"/>
        <v>-13.041891306166212</v>
      </c>
      <c r="M175" s="28">
        <f t="shared" si="16"/>
        <v>-15.409772989611389</v>
      </c>
      <c r="N175" s="28">
        <f t="shared" si="16"/>
        <v>-18.907519589802966</v>
      </c>
      <c r="O175" s="28">
        <f t="shared" si="16"/>
        <v>1.1090714394982408</v>
      </c>
      <c r="P175" s="28">
        <f t="shared" si="16"/>
        <v>7.6165620193156318</v>
      </c>
      <c r="Q175" s="28">
        <f t="shared" si="16"/>
        <v>9.8471091324468389</v>
      </c>
      <c r="R175" s="28">
        <f t="shared" si="16"/>
        <v>11.678754266211604</v>
      </c>
      <c r="S175" s="28">
        <f t="shared" si="16"/>
        <v>8.7250501384777017</v>
      </c>
      <c r="T175" s="28">
        <f t="shared" si="16"/>
        <v>-3.8648700876622803E-2</v>
      </c>
      <c r="U175" s="28">
        <f t="shared" si="16"/>
        <v>-6.3223844923639305</v>
      </c>
      <c r="V175" s="28">
        <f t="shared" si="16"/>
        <v>2.2700197923213294</v>
      </c>
    </row>
    <row r="176" spans="1:22" s="14" customFormat="1" ht="12.75" x14ac:dyDescent="0.2">
      <c r="A176" s="28" t="s">
        <v>3092</v>
      </c>
      <c r="B176" s="29" t="s">
        <v>3161</v>
      </c>
      <c r="C176" s="29"/>
      <c r="D176" s="30">
        <f t="shared" si="15"/>
        <v>13.847857621936955</v>
      </c>
      <c r="E176" s="35">
        <f t="shared" si="16"/>
        <v>9.1849456767458104</v>
      </c>
      <c r="F176" s="28">
        <f t="shared" si="16"/>
        <v>10.057345061674175</v>
      </c>
      <c r="G176" s="28">
        <f t="shared" si="16"/>
        <v>9.2044055274319323</v>
      </c>
      <c r="H176" s="28">
        <f t="shared" si="16"/>
        <v>9.8443323832492879</v>
      </c>
      <c r="I176" s="28">
        <f t="shared" si="16"/>
        <v>6.7512593859899246</v>
      </c>
      <c r="J176" s="28">
        <f t="shared" si="16"/>
        <v>5.2264653245839749</v>
      </c>
      <c r="K176" s="28">
        <f t="shared" si="16"/>
        <v>4.0504979565588961</v>
      </c>
      <c r="L176" s="28">
        <f t="shared" si="16"/>
        <v>12.784418963974954</v>
      </c>
      <c r="M176" s="28">
        <f t="shared" si="16"/>
        <v>8.7013576944430415</v>
      </c>
      <c r="N176" s="36">
        <f t="shared" si="16"/>
        <v>11.00431815016019</v>
      </c>
      <c r="O176" s="28">
        <f t="shared" si="16"/>
        <v>4.0514135130774607</v>
      </c>
      <c r="P176" s="28">
        <f t="shared" si="16"/>
        <v>9.971343084724543</v>
      </c>
      <c r="Q176" s="28">
        <f t="shared" si="16"/>
        <v>12.574415641384496</v>
      </c>
      <c r="R176" s="28">
        <f t="shared" si="16"/>
        <v>8.6481947942905126</v>
      </c>
      <c r="S176" s="28">
        <f t="shared" si="16"/>
        <v>1.4939328989727343</v>
      </c>
      <c r="T176" s="28">
        <f t="shared" si="16"/>
        <v>-2.3814431688632931</v>
      </c>
      <c r="U176" s="28">
        <f t="shared" si="16"/>
        <v>1.5423267198731319</v>
      </c>
      <c r="V176" s="28">
        <f t="shared" si="16"/>
        <v>5.8171463007838531</v>
      </c>
    </row>
    <row r="177" spans="1:22" s="14" customFormat="1" ht="12.75" x14ac:dyDescent="0.2">
      <c r="A177" s="28" t="s">
        <v>3092</v>
      </c>
      <c r="B177" s="29" t="s">
        <v>3162</v>
      </c>
      <c r="C177" s="29"/>
      <c r="D177" s="30">
        <f t="shared" si="15"/>
        <v>32.629038613081171</v>
      </c>
      <c r="E177" s="35">
        <f t="shared" si="16"/>
        <v>7.1744216272420074</v>
      </c>
      <c r="F177" s="28">
        <f t="shared" si="16"/>
        <v>1.7133848445999793</v>
      </c>
      <c r="G177" s="28">
        <f t="shared" si="16"/>
        <v>0.49735143329188741</v>
      </c>
      <c r="H177" s="36">
        <f t="shared" si="16"/>
        <v>-5.626832533938952</v>
      </c>
      <c r="I177" s="28">
        <f t="shared" si="16"/>
        <v>-1.5731910996174776</v>
      </c>
      <c r="J177" s="28">
        <f t="shared" si="16"/>
        <v>6.1689200284635177</v>
      </c>
      <c r="K177" s="28">
        <f t="shared" si="16"/>
        <v>4.6607547948030525</v>
      </c>
      <c r="L177" s="28">
        <f t="shared" si="16"/>
        <v>3.0082101806239736</v>
      </c>
      <c r="M177" s="28">
        <f t="shared" si="16"/>
        <v>7.3774150353886379</v>
      </c>
      <c r="N177" s="28">
        <f t="shared" si="16"/>
        <v>8.6594418052256543</v>
      </c>
      <c r="O177" s="28">
        <f t="shared" si="16"/>
        <v>14.445370458923668</v>
      </c>
      <c r="P177" s="28">
        <f t="shared" si="16"/>
        <v>24.033617458157249</v>
      </c>
      <c r="Q177" s="28">
        <f t="shared" si="16"/>
        <v>1.5534466495986448</v>
      </c>
      <c r="R177" s="28">
        <f t="shared" si="16"/>
        <v>3.6820456440973537</v>
      </c>
      <c r="S177" s="28">
        <f t="shared" si="16"/>
        <v>-2.1389983271936157</v>
      </c>
      <c r="T177" s="28">
        <f t="shared" si="16"/>
        <v>-7.4110053522889672</v>
      </c>
      <c r="U177" s="28">
        <f t="shared" si="16"/>
        <v>2.8409148229976897</v>
      </c>
      <c r="V177" s="28">
        <f t="shared" si="16"/>
        <v>4.7803097931115666</v>
      </c>
    </row>
    <row r="178" spans="1:22" s="14" customFormat="1" ht="12.75" x14ac:dyDescent="0.2">
      <c r="A178" s="28" t="s">
        <v>3092</v>
      </c>
      <c r="B178" s="29" t="s">
        <v>3163</v>
      </c>
      <c r="C178" s="29"/>
      <c r="D178" s="30">
        <f t="shared" si="15"/>
        <v>53.54042941982641</v>
      </c>
      <c r="E178" s="35">
        <f t="shared" si="16"/>
        <v>22.017256768818804</v>
      </c>
      <c r="F178" s="28">
        <f t="shared" si="16"/>
        <v>11.363082175079249</v>
      </c>
      <c r="G178" s="28">
        <f t="shared" si="16"/>
        <v>-1.9268666520691919</v>
      </c>
      <c r="H178" s="28">
        <f t="shared" si="16"/>
        <v>-0.5804867157847734</v>
      </c>
      <c r="I178" s="28">
        <f t="shared" si="16"/>
        <v>-8.286548394340894</v>
      </c>
      <c r="J178" s="28">
        <f t="shared" si="16"/>
        <v>17.140058765915768</v>
      </c>
      <c r="K178" s="28">
        <f t="shared" si="16"/>
        <v>4.9540133779264215</v>
      </c>
      <c r="L178" s="28">
        <f t="shared" si="16"/>
        <v>9.9980083648675571</v>
      </c>
      <c r="M178" s="28">
        <f t="shared" si="16"/>
        <v>-11.099040376606917</v>
      </c>
      <c r="N178" s="36">
        <f t="shared" si="16"/>
        <v>-10.468431771894092</v>
      </c>
      <c r="O178" s="28">
        <f t="shared" si="16"/>
        <v>-6.7561419472247506</v>
      </c>
      <c r="P178" s="28">
        <f t="shared" si="16"/>
        <v>-1.1954135154915833</v>
      </c>
      <c r="Q178" s="28">
        <f t="shared" si="16"/>
        <v>2.5185185185185186</v>
      </c>
      <c r="R178" s="28">
        <f t="shared" si="16"/>
        <v>-0.52986512524084772</v>
      </c>
      <c r="S178" s="28">
        <f t="shared" si="16"/>
        <v>16.343825665859566</v>
      </c>
      <c r="T178" s="28">
        <f t="shared" si="16"/>
        <v>-2.1227887617065555</v>
      </c>
      <c r="U178" s="28">
        <f t="shared" si="16"/>
        <v>7.8460557091218366</v>
      </c>
      <c r="V178" s="28">
        <f t="shared" si="16"/>
        <v>11.987381703470032</v>
      </c>
    </row>
    <row r="179" spans="1:22" s="14" customFormat="1" ht="12.75" x14ac:dyDescent="0.2">
      <c r="A179" s="28" t="s">
        <v>3092</v>
      </c>
      <c r="B179" s="29" t="s">
        <v>3164</v>
      </c>
      <c r="C179" s="29"/>
      <c r="D179" s="30">
        <f t="shared" si="15"/>
        <v>5.7095914366705687</v>
      </c>
      <c r="E179" s="35">
        <f t="shared" si="16"/>
        <v>3.902648905016977</v>
      </c>
      <c r="F179" s="28">
        <f t="shared" si="16"/>
        <v>9.07830240463786</v>
      </c>
      <c r="G179" s="28">
        <f t="shared" si="16"/>
        <v>15.998634506951065</v>
      </c>
      <c r="H179" s="36">
        <f t="shared" si="16"/>
        <v>-0.27906882344584039</v>
      </c>
      <c r="I179" s="28">
        <f t="shared" ref="E179:V192" si="17">(I130-H130)/H130*100</f>
        <v>-1.1992835845197269</v>
      </c>
      <c r="J179" s="28">
        <f t="shared" si="17"/>
        <v>3.7473542180587813</v>
      </c>
      <c r="K179" s="28">
        <f t="shared" si="17"/>
        <v>14.873159314680558</v>
      </c>
      <c r="L179" s="28">
        <f t="shared" si="17"/>
        <v>26.063236768417049</v>
      </c>
      <c r="M179" s="28">
        <f t="shared" si="17"/>
        <v>4.3257389954084333</v>
      </c>
      <c r="N179" s="28">
        <f t="shared" si="17"/>
        <v>8.573353047478232</v>
      </c>
      <c r="O179" s="28">
        <f t="shared" si="17"/>
        <v>-26.75877534098165</v>
      </c>
      <c r="P179" s="28">
        <f t="shared" si="17"/>
        <v>-2.8605014864443299</v>
      </c>
      <c r="Q179" s="28">
        <f t="shared" si="17"/>
        <v>-1.0223417943619135</v>
      </c>
      <c r="R179" s="28">
        <f t="shared" si="17"/>
        <v>-5.683859489286359</v>
      </c>
      <c r="S179" s="28">
        <f t="shared" si="17"/>
        <v>-4.4940492463593777</v>
      </c>
      <c r="T179" s="28">
        <f t="shared" si="17"/>
        <v>-1.375921375921376</v>
      </c>
      <c r="U179" s="28">
        <f t="shared" si="17"/>
        <v>5.9621422109993656</v>
      </c>
      <c r="V179" s="28">
        <f t="shared" si="17"/>
        <v>15.763127379637154</v>
      </c>
    </row>
    <row r="180" spans="1:22" s="14" customFormat="1" ht="12.75" x14ac:dyDescent="0.2">
      <c r="A180" s="28" t="s">
        <v>3092</v>
      </c>
      <c r="B180" s="29" t="s">
        <v>3165</v>
      </c>
      <c r="C180" s="29"/>
      <c r="D180" s="30">
        <f t="shared" si="15"/>
        <v>5.9399629114510892</v>
      </c>
      <c r="E180" s="35">
        <f t="shared" si="17"/>
        <v>5.0708385755702645</v>
      </c>
      <c r="F180" s="28">
        <f t="shared" si="17"/>
        <v>2.6603498542274053</v>
      </c>
      <c r="G180" s="28">
        <f t="shared" si="17"/>
        <v>4.1939246412089863</v>
      </c>
      <c r="H180" s="28">
        <f t="shared" si="17"/>
        <v>4.77465200038937</v>
      </c>
      <c r="I180" s="28">
        <f t="shared" si="17"/>
        <v>4.1993775258977104</v>
      </c>
      <c r="J180" s="28">
        <f t="shared" si="17"/>
        <v>-2.2736391600909456</v>
      </c>
      <c r="K180" s="28">
        <f t="shared" si="17"/>
        <v>-5.2369873637151594</v>
      </c>
      <c r="L180" s="28">
        <f t="shared" si="17"/>
        <v>10.566600876137294</v>
      </c>
      <c r="M180" s="28">
        <f t="shared" si="17"/>
        <v>20.498084291187741</v>
      </c>
      <c r="N180" s="36">
        <f t="shared" si="17"/>
        <v>15.9596762537939</v>
      </c>
      <c r="O180" s="28">
        <f t="shared" si="17"/>
        <v>18.044433365531422</v>
      </c>
      <c r="P180" s="28">
        <f t="shared" si="17"/>
        <v>10.497835497835498</v>
      </c>
      <c r="Q180" s="28">
        <f t="shared" si="17"/>
        <v>10.121592890757507</v>
      </c>
      <c r="R180" s="28">
        <f t="shared" si="17"/>
        <v>7.8246344743806677</v>
      </c>
      <c r="S180" s="28">
        <f t="shared" si="17"/>
        <v>4.013680716225732</v>
      </c>
      <c r="T180" s="28">
        <f t="shared" si="17"/>
        <v>5.1760154738878139</v>
      </c>
      <c r="U180" s="28">
        <f t="shared" si="17"/>
        <v>1.0022804178313962</v>
      </c>
      <c r="V180" s="28">
        <f t="shared" si="17"/>
        <v>1.1507437956337285</v>
      </c>
    </row>
    <row r="181" spans="1:22" s="14" customFormat="1" ht="12.75" x14ac:dyDescent="0.2">
      <c r="A181" s="28" t="s">
        <v>3092</v>
      </c>
      <c r="B181" s="29" t="s">
        <v>3166</v>
      </c>
      <c r="C181" s="29"/>
      <c r="D181" s="30">
        <f t="shared" si="15"/>
        <v>11.035032424011883</v>
      </c>
      <c r="E181" s="35">
        <f t="shared" si="17"/>
        <v>6.8213209783897248</v>
      </c>
      <c r="F181" s="28">
        <f t="shared" si="17"/>
        <v>6.9996640161272259</v>
      </c>
      <c r="G181" s="28">
        <f t="shared" si="17"/>
        <v>28.279445068224636</v>
      </c>
      <c r="H181" s="36">
        <f t="shared" si="17"/>
        <v>7.3753467740739094</v>
      </c>
      <c r="I181" s="28">
        <f t="shared" si="17"/>
        <v>2.2589581160151151</v>
      </c>
      <c r="J181" s="28">
        <f t="shared" si="17"/>
        <v>4.9909813750194223</v>
      </c>
      <c r="K181" s="28">
        <f t="shared" si="17"/>
        <v>14.775279091464789</v>
      </c>
      <c r="L181" s="28">
        <f t="shared" si="17"/>
        <v>24.811916267701172</v>
      </c>
      <c r="M181" s="28">
        <f t="shared" si="17"/>
        <v>2.657240261052745</v>
      </c>
      <c r="N181" s="28">
        <f t="shared" si="17"/>
        <v>15.830026295870104</v>
      </c>
      <c r="O181" s="28">
        <f t="shared" si="17"/>
        <v>-28.081123244929795</v>
      </c>
      <c r="P181" s="28">
        <f t="shared" si="17"/>
        <v>-6.8868078133124637</v>
      </c>
      <c r="Q181" s="28">
        <f t="shared" si="17"/>
        <v>-7.8389675148493074</v>
      </c>
      <c r="R181" s="28">
        <f t="shared" si="17"/>
        <v>-5.2936640062674432</v>
      </c>
      <c r="S181" s="28">
        <f t="shared" si="17"/>
        <v>-7.8708760138300971</v>
      </c>
      <c r="T181" s="28">
        <f t="shared" si="17"/>
        <v>-10.080249165240327</v>
      </c>
      <c r="U181" s="28">
        <f t="shared" si="17"/>
        <v>2.182765668637761</v>
      </c>
      <c r="V181" s="28">
        <f t="shared" si="17"/>
        <v>23.421181212972577</v>
      </c>
    </row>
    <row r="182" spans="1:22" s="14" customFormat="1" ht="12.75" x14ac:dyDescent="0.2">
      <c r="A182" s="28" t="s">
        <v>3092</v>
      </c>
      <c r="B182" s="29" t="s">
        <v>3167</v>
      </c>
      <c r="C182" s="29"/>
      <c r="D182" s="30">
        <f t="shared" si="15"/>
        <v>3.2855205024977803</v>
      </c>
      <c r="E182" s="35">
        <f t="shared" si="17"/>
        <v>2.3745477177547816</v>
      </c>
      <c r="F182" s="28">
        <f t="shared" si="17"/>
        <v>10.76529140219273</v>
      </c>
      <c r="G182" s="28">
        <f t="shared" si="17"/>
        <v>11.078138154620426</v>
      </c>
      <c r="H182" s="28">
        <f t="shared" si="17"/>
        <v>-5.0350072024387789</v>
      </c>
      <c r="I182" s="28">
        <f t="shared" si="17"/>
        <v>-3.9191477352899677</v>
      </c>
      <c r="J182" s="28">
        <f t="shared" si="17"/>
        <v>3.522322575907773</v>
      </c>
      <c r="K182" s="28">
        <f t="shared" si="17"/>
        <v>16.894902270238639</v>
      </c>
      <c r="L182" s="28">
        <f t="shared" si="17"/>
        <v>28.130582029042667</v>
      </c>
      <c r="M182" s="28">
        <f t="shared" si="17"/>
        <v>4.3258074445917787</v>
      </c>
      <c r="N182" s="36">
        <f t="shared" si="17"/>
        <v>3.2879300708427075</v>
      </c>
      <c r="O182" s="28">
        <f t="shared" si="17"/>
        <v>-29.746745042026042</v>
      </c>
      <c r="P182" s="28">
        <f t="shared" si="17"/>
        <v>-1.8419324064371843</v>
      </c>
      <c r="Q182" s="28">
        <f t="shared" si="17"/>
        <v>1.9330579598730149</v>
      </c>
      <c r="R182" s="28">
        <f t="shared" si="17"/>
        <v>-8.3663532703414525</v>
      </c>
      <c r="S182" s="28">
        <f t="shared" si="17"/>
        <v>-4.0691525655021836</v>
      </c>
      <c r="T182" s="28">
        <f t="shared" si="17"/>
        <v>2.6343163491202648</v>
      </c>
      <c r="U182" s="28">
        <f t="shared" si="17"/>
        <v>9.2286036036036041</v>
      </c>
      <c r="V182" s="28">
        <f t="shared" si="17"/>
        <v>14.967861150654077</v>
      </c>
    </row>
    <row r="183" spans="1:22" s="14" customFormat="1" ht="12.75" x14ac:dyDescent="0.2">
      <c r="A183" s="28" t="s">
        <v>3092</v>
      </c>
      <c r="B183" s="29" t="s">
        <v>3168</v>
      </c>
      <c r="C183" s="29"/>
      <c r="D183" s="30">
        <f t="shared" si="15"/>
        <v>8.6953290476013514</v>
      </c>
      <c r="E183" s="35">
        <f t="shared" si="17"/>
        <v>10.806468154934874</v>
      </c>
      <c r="F183" s="28">
        <f t="shared" si="17"/>
        <v>0.14500802172035049</v>
      </c>
      <c r="G183" s="28">
        <f t="shared" si="17"/>
        <v>2.794294340552697</v>
      </c>
      <c r="H183" s="36">
        <f t="shared" si="17"/>
        <v>-14.835461247976983</v>
      </c>
      <c r="I183" s="28">
        <f t="shared" si="17"/>
        <v>-2.0129504504504503</v>
      </c>
      <c r="J183" s="28">
        <f t="shared" si="17"/>
        <v>-3.5232006895560981</v>
      </c>
      <c r="K183" s="28">
        <f t="shared" si="17"/>
        <v>13.982057104567621</v>
      </c>
      <c r="L183" s="28">
        <f t="shared" si="17"/>
        <v>22.779973219242954</v>
      </c>
      <c r="M183" s="28">
        <f t="shared" si="17"/>
        <v>13.472894610842157</v>
      </c>
      <c r="N183" s="28">
        <f t="shared" si="17"/>
        <v>5.886213929065379</v>
      </c>
      <c r="O183" s="28">
        <f t="shared" si="17"/>
        <v>-20.588886429045829</v>
      </c>
      <c r="P183" s="28">
        <f t="shared" si="17"/>
        <v>-2.8185112907722329</v>
      </c>
      <c r="Q183" s="28">
        <f t="shared" si="17"/>
        <v>-5.7488740353997532</v>
      </c>
      <c r="R183" s="28">
        <f t="shared" si="17"/>
        <v>-3.9841728808400547</v>
      </c>
      <c r="S183" s="28">
        <f t="shared" si="17"/>
        <v>-5.002218981804349</v>
      </c>
      <c r="T183" s="28">
        <f t="shared" si="17"/>
        <v>-6.0497864388681259</v>
      </c>
      <c r="U183" s="28">
        <f t="shared" si="17"/>
        <v>-3.9211507725093235</v>
      </c>
      <c r="V183" s="28">
        <f t="shared" si="17"/>
        <v>1.2310080958190086</v>
      </c>
    </row>
    <row r="184" spans="1:22" s="14" customFormat="1" ht="12.75" x14ac:dyDescent="0.2">
      <c r="A184" s="28" t="s">
        <v>3092</v>
      </c>
      <c r="B184" s="29" t="s">
        <v>3169</v>
      </c>
      <c r="C184" s="29"/>
      <c r="D184" s="30">
        <f t="shared" si="15"/>
        <v>6.0608239269537716</v>
      </c>
      <c r="E184" s="35">
        <f t="shared" si="17"/>
        <v>16.038503253796097</v>
      </c>
      <c r="F184" s="28">
        <f t="shared" si="17"/>
        <v>4.0600537445963312</v>
      </c>
      <c r="G184" s="28">
        <f t="shared" si="17"/>
        <v>5.9843934205355636</v>
      </c>
      <c r="H184" s="28">
        <f t="shared" si="17"/>
        <v>-11.774988081995868</v>
      </c>
      <c r="I184" s="28">
        <f t="shared" si="17"/>
        <v>-1.4469260326609028</v>
      </c>
      <c r="J184" s="28">
        <f t="shared" si="17"/>
        <v>-5.0319829424307034</v>
      </c>
      <c r="K184" s="28">
        <f t="shared" si="17"/>
        <v>8.7369298864584</v>
      </c>
      <c r="L184" s="28">
        <f t="shared" si="17"/>
        <v>18.606571883664678</v>
      </c>
      <c r="M184" s="28">
        <f t="shared" si="17"/>
        <v>13.310121860233773</v>
      </c>
      <c r="N184" s="36">
        <f t="shared" si="17"/>
        <v>8.976778894692945</v>
      </c>
      <c r="O184" s="28">
        <f t="shared" si="17"/>
        <v>-11.794086844437283</v>
      </c>
      <c r="P184" s="28">
        <f t="shared" si="17"/>
        <v>7.3066033427710286E-2</v>
      </c>
      <c r="Q184" s="28">
        <f t="shared" si="17"/>
        <v>-3.1577986675184815</v>
      </c>
      <c r="R184" s="28">
        <f t="shared" si="17"/>
        <v>-1.7293374799736121</v>
      </c>
      <c r="S184" s="28">
        <f t="shared" si="17"/>
        <v>-7.5761208343322952</v>
      </c>
      <c r="T184" s="28">
        <f t="shared" si="17"/>
        <v>-7.6679636835278853</v>
      </c>
      <c r="U184" s="28">
        <f t="shared" si="17"/>
        <v>-7.6136427487778837</v>
      </c>
      <c r="V184" s="28">
        <f t="shared" si="17"/>
        <v>-4.2695535822892596</v>
      </c>
    </row>
    <row r="185" spans="1:22" s="14" customFormat="1" ht="12.75" x14ac:dyDescent="0.2">
      <c r="A185" s="28" t="s">
        <v>3092</v>
      </c>
      <c r="B185" s="29" t="s">
        <v>3170</v>
      </c>
      <c r="C185" s="29"/>
      <c r="D185" s="30">
        <f t="shared" si="15"/>
        <v>11.513613290263036</v>
      </c>
      <c r="E185" s="35">
        <f t="shared" si="17"/>
        <v>5.4831367680529697</v>
      </c>
      <c r="F185" s="28">
        <f t="shared" si="17"/>
        <v>-4.2369556688897605</v>
      </c>
      <c r="G185" s="28">
        <f t="shared" si="17"/>
        <v>-1.0856206472757066</v>
      </c>
      <c r="H185" s="36">
        <f t="shared" si="17"/>
        <v>-18.823773037896043</v>
      </c>
      <c r="I185" s="28">
        <f t="shared" si="17"/>
        <v>-2.814625850340136</v>
      </c>
      <c r="J185" s="28">
        <f t="shared" si="17"/>
        <v>-1.3561991425321551</v>
      </c>
      <c r="K185" s="28">
        <f t="shared" si="17"/>
        <v>21.234699308142631</v>
      </c>
      <c r="L185" s="28">
        <f t="shared" si="17"/>
        <v>27.955809189347381</v>
      </c>
      <c r="M185" s="28">
        <f t="shared" si="17"/>
        <v>13.660014866487508</v>
      </c>
      <c r="N185" s="28">
        <f t="shared" si="17"/>
        <v>2.3443002314116108</v>
      </c>
      <c r="O185" s="28">
        <f t="shared" si="17"/>
        <v>-31.32127408572552</v>
      </c>
      <c r="P185" s="28">
        <f t="shared" si="17"/>
        <v>-7.3504151159461779</v>
      </c>
      <c r="Q185" s="28">
        <f t="shared" si="17"/>
        <v>-10.135187331015837</v>
      </c>
      <c r="R185" s="28">
        <f t="shared" si="17"/>
        <v>-8.0976532278861857</v>
      </c>
      <c r="S185" s="28">
        <f t="shared" si="17"/>
        <v>1.8707323917313629E-2</v>
      </c>
      <c r="T185" s="28">
        <f t="shared" si="17"/>
        <v>-3.1328906761432713</v>
      </c>
      <c r="U185" s="28">
        <f t="shared" si="17"/>
        <v>2.4232477312222436</v>
      </c>
      <c r="V185" s="28">
        <f t="shared" si="17"/>
        <v>9.7558676595343581</v>
      </c>
    </row>
    <row r="186" spans="1:22" s="14" customFormat="1" ht="12.75" x14ac:dyDescent="0.2">
      <c r="A186" s="28" t="s">
        <v>3092</v>
      </c>
      <c r="B186" s="29" t="s">
        <v>3171</v>
      </c>
      <c r="C186" s="29"/>
      <c r="D186" s="30">
        <f t="shared" si="15"/>
        <v>15.737308622078968</v>
      </c>
      <c r="E186" s="35">
        <f t="shared" si="17"/>
        <v>8.2294785212003063</v>
      </c>
      <c r="F186" s="28">
        <f t="shared" si="17"/>
        <v>12.557092312640719</v>
      </c>
      <c r="G186" s="28">
        <f t="shared" si="17"/>
        <v>-5.6924044121849464</v>
      </c>
      <c r="H186" s="28">
        <f t="shared" si="17"/>
        <v>17.380764802133204</v>
      </c>
      <c r="I186" s="28">
        <f t="shared" si="17"/>
        <v>-1.6727760854974443</v>
      </c>
      <c r="J186" s="28">
        <f t="shared" si="17"/>
        <v>-0.85586768180624839</v>
      </c>
      <c r="K186" s="28">
        <f t="shared" si="17"/>
        <v>4.5757864632983791</v>
      </c>
      <c r="L186" s="28">
        <f t="shared" si="17"/>
        <v>8.943583510584423</v>
      </c>
      <c r="M186" s="28">
        <f t="shared" si="17"/>
        <v>-3.1610264038676088</v>
      </c>
      <c r="N186" s="36">
        <f t="shared" si="17"/>
        <v>-14.391321044546851</v>
      </c>
      <c r="O186" s="28">
        <f t="shared" si="17"/>
        <v>4.0764831221262758</v>
      </c>
      <c r="P186" s="28">
        <f t="shared" si="17"/>
        <v>-8.1191746134367762</v>
      </c>
      <c r="Q186" s="28">
        <f t="shared" si="17"/>
        <v>20.253313005746453</v>
      </c>
      <c r="R186" s="28">
        <f t="shared" si="17"/>
        <v>-4.1593524478252393</v>
      </c>
      <c r="S186" s="28">
        <f t="shared" si="17"/>
        <v>-2.6507250063597052</v>
      </c>
      <c r="T186" s="28">
        <f t="shared" si="17"/>
        <v>11.837566635308875</v>
      </c>
      <c r="U186" s="28">
        <f t="shared" si="17"/>
        <v>4.0889761203794572</v>
      </c>
      <c r="V186" s="28">
        <f t="shared" si="17"/>
        <v>18.694441950255904</v>
      </c>
    </row>
    <row r="187" spans="1:22" s="14" customFormat="1" ht="12.75" x14ac:dyDescent="0.2">
      <c r="A187" s="28" t="s">
        <v>3092</v>
      </c>
      <c r="B187" s="29" t="s">
        <v>3172</v>
      </c>
      <c r="C187" s="29"/>
      <c r="D187" s="30">
        <f t="shared" si="15"/>
        <v>9.7008274984086569</v>
      </c>
      <c r="E187" s="35">
        <f t="shared" si="17"/>
        <v>-3.4814900777532784E-2</v>
      </c>
      <c r="F187" s="28">
        <f t="shared" si="17"/>
        <v>-1.7839176534323968</v>
      </c>
      <c r="G187" s="28">
        <f t="shared" si="17"/>
        <v>4.4285095149915294</v>
      </c>
      <c r="H187" s="36">
        <f t="shared" si="17"/>
        <v>-6.3950198075834752</v>
      </c>
      <c r="I187" s="28">
        <f t="shared" si="17"/>
        <v>-4.6029826682789192</v>
      </c>
      <c r="J187" s="28">
        <f t="shared" si="17"/>
        <v>-6.7052560419131311</v>
      </c>
      <c r="K187" s="28">
        <f t="shared" si="17"/>
        <v>-5.887414519269961</v>
      </c>
      <c r="L187" s="28">
        <f t="shared" si="17"/>
        <v>2.0162648573215916</v>
      </c>
      <c r="M187" s="28">
        <f t="shared" si="17"/>
        <v>-12.830188679245284</v>
      </c>
      <c r="N187" s="28">
        <f t="shared" si="17"/>
        <v>-14.778138528138529</v>
      </c>
      <c r="O187" s="28">
        <f t="shared" si="17"/>
        <v>30.065400977839861</v>
      </c>
      <c r="P187" s="28">
        <f t="shared" si="17"/>
        <v>9.4561609060730323</v>
      </c>
      <c r="Q187" s="28">
        <f t="shared" si="17"/>
        <v>6.815039471923642</v>
      </c>
      <c r="R187" s="28">
        <f t="shared" si="17"/>
        <v>2.2923712889891017</v>
      </c>
      <c r="S187" s="28">
        <f t="shared" si="17"/>
        <v>3.6533594579149322</v>
      </c>
      <c r="T187" s="28">
        <f t="shared" si="17"/>
        <v>10.37687551687473</v>
      </c>
      <c r="U187" s="28">
        <f t="shared" si="17"/>
        <v>-6.679035250463822</v>
      </c>
      <c r="V187" s="28">
        <f t="shared" si="17"/>
        <v>2.7144823367487381</v>
      </c>
    </row>
    <row r="188" spans="1:22" s="14" customFormat="1" ht="12.75" x14ac:dyDescent="0.2">
      <c r="A188" s="28" t="s">
        <v>3092</v>
      </c>
      <c r="B188" s="29" t="s">
        <v>3173</v>
      </c>
      <c r="C188" s="29"/>
      <c r="D188" s="30"/>
      <c r="E188" s="35"/>
      <c r="F188" s="28"/>
      <c r="G188" s="28"/>
      <c r="H188" s="28"/>
      <c r="I188" s="28"/>
      <c r="J188" s="28"/>
      <c r="K188" s="28"/>
      <c r="L188" s="28"/>
      <c r="M188" s="28"/>
      <c r="N188" s="36"/>
      <c r="O188" s="28"/>
      <c r="P188" s="28">
        <f t="shared" si="17"/>
        <v>35.440242892630422</v>
      </c>
      <c r="Q188" s="28">
        <f t="shared" si="17"/>
        <v>-6.1137151008762993</v>
      </c>
      <c r="R188" s="28">
        <f t="shared" si="17"/>
        <v>-8.6824397655741272</v>
      </c>
      <c r="S188" s="28">
        <f t="shared" si="17"/>
        <v>5.7760874732588539</v>
      </c>
      <c r="T188" s="28">
        <f t="shared" si="17"/>
        <v>-7.2808988764044944</v>
      </c>
      <c r="U188" s="28">
        <f t="shared" si="17"/>
        <v>20.358700920988852</v>
      </c>
      <c r="V188" s="28">
        <f t="shared" si="17"/>
        <v>11.518324607329843</v>
      </c>
    </row>
    <row r="189" spans="1:22" s="14" customFormat="1" ht="12.75" x14ac:dyDescent="0.2">
      <c r="A189" s="28" t="s">
        <v>3092</v>
      </c>
      <c r="B189" s="29" t="s">
        <v>3174</v>
      </c>
      <c r="C189" s="29"/>
      <c r="D189" s="30"/>
      <c r="E189" s="35"/>
      <c r="F189" s="28"/>
      <c r="G189" s="28"/>
      <c r="H189" s="36"/>
      <c r="I189" s="28"/>
      <c r="J189" s="28"/>
      <c r="K189" s="28"/>
      <c r="L189" s="28"/>
      <c r="M189" s="28"/>
      <c r="N189" s="28"/>
      <c r="O189" s="28"/>
      <c r="P189" s="28">
        <f t="shared" si="17"/>
        <v>12.298387096774194</v>
      </c>
      <c r="Q189" s="28">
        <f t="shared" si="17"/>
        <v>7.3608617594254939</v>
      </c>
      <c r="R189" s="28">
        <f t="shared" si="17"/>
        <v>-19.565217391304348</v>
      </c>
      <c r="S189" s="28">
        <f t="shared" si="17"/>
        <v>6.0291060291060292</v>
      </c>
      <c r="T189" s="28">
        <f t="shared" si="17"/>
        <v>-14.509803921568629</v>
      </c>
      <c r="U189" s="28">
        <f t="shared" si="17"/>
        <v>-17.431192660550458</v>
      </c>
      <c r="V189" s="28">
        <f t="shared" si="17"/>
        <v>9.4444444444444446</v>
      </c>
    </row>
    <row r="190" spans="1:22" s="14" customFormat="1" ht="12.75" x14ac:dyDescent="0.2">
      <c r="A190" s="28" t="s">
        <v>3092</v>
      </c>
      <c r="B190" s="29" t="s">
        <v>3175</v>
      </c>
      <c r="C190" s="29"/>
      <c r="D190" s="30">
        <f t="shared" si="15"/>
        <v>-5.5525313010342945</v>
      </c>
      <c r="E190" s="35">
        <f t="shared" si="17"/>
        <v>-6.474543707973103</v>
      </c>
      <c r="F190" s="28">
        <f t="shared" si="17"/>
        <v>8.5866885784716516</v>
      </c>
      <c r="G190" s="28">
        <f t="shared" si="17"/>
        <v>5.0889141127506621</v>
      </c>
      <c r="H190" s="28">
        <f t="shared" si="17"/>
        <v>-4.0864086408640867</v>
      </c>
      <c r="I190" s="28">
        <f t="shared" si="17"/>
        <v>-5.6306306306306304</v>
      </c>
      <c r="J190" s="28">
        <f t="shared" si="17"/>
        <v>-2.426412092283214</v>
      </c>
      <c r="K190" s="28">
        <f t="shared" si="17"/>
        <v>-9.6004891969017532</v>
      </c>
      <c r="L190" s="28">
        <f t="shared" si="17"/>
        <v>-2.5479143179255916</v>
      </c>
      <c r="M190" s="28">
        <f t="shared" si="17"/>
        <v>-3.8176770013882462</v>
      </c>
      <c r="N190" s="36">
        <f t="shared" si="17"/>
        <v>-1.4674043781573249</v>
      </c>
      <c r="O190" s="28">
        <f t="shared" si="17"/>
        <v>21.4599609375</v>
      </c>
      <c r="P190" s="28">
        <f t="shared" si="17"/>
        <v>10.93467336683417</v>
      </c>
      <c r="Q190" s="28">
        <f t="shared" si="17"/>
        <v>11.505707555716615</v>
      </c>
      <c r="R190" s="28">
        <f t="shared" si="17"/>
        <v>3.672408189795255</v>
      </c>
      <c r="S190" s="28">
        <f t="shared" si="17"/>
        <v>4.2789968652037613</v>
      </c>
      <c r="T190" s="28">
        <f t="shared" si="17"/>
        <v>6.2979107169697883</v>
      </c>
      <c r="U190" s="28">
        <f t="shared" si="17"/>
        <v>4.9349547511312215</v>
      </c>
      <c r="V190" s="28">
        <f t="shared" si="17"/>
        <v>13.421371782778602</v>
      </c>
    </row>
    <row r="191" spans="1:22" s="14" customFormat="1" ht="12.75" x14ac:dyDescent="0.2">
      <c r="A191" s="28" t="s">
        <v>3092</v>
      </c>
      <c r="B191" s="29" t="s">
        <v>3176</v>
      </c>
      <c r="C191" s="29"/>
      <c r="D191" s="30">
        <f t="shared" si="15"/>
        <v>20.566727605118832</v>
      </c>
      <c r="E191" s="35">
        <f t="shared" si="17"/>
        <v>-3.4032516215988546</v>
      </c>
      <c r="F191" s="28">
        <f t="shared" si="17"/>
        <v>-11.999651172931019</v>
      </c>
      <c r="G191" s="28">
        <f t="shared" si="17"/>
        <v>3.7161827370924585</v>
      </c>
      <c r="H191" s="36">
        <f t="shared" si="17"/>
        <v>0.58283967131664438</v>
      </c>
      <c r="I191" s="28">
        <f t="shared" si="17"/>
        <v>-4.9776764510306837</v>
      </c>
      <c r="J191" s="28">
        <f t="shared" si="17"/>
        <v>-19.114265720283914</v>
      </c>
      <c r="K191" s="28">
        <f t="shared" si="17"/>
        <v>-10.814485230503028</v>
      </c>
      <c r="L191" s="28">
        <f t="shared" si="17"/>
        <v>3.5338137472283817</v>
      </c>
      <c r="M191" s="28">
        <f t="shared" si="17"/>
        <v>1.9809931736046047</v>
      </c>
      <c r="N191" s="28">
        <f t="shared" si="17"/>
        <v>-23.940149625935163</v>
      </c>
      <c r="O191" s="28">
        <f t="shared" si="17"/>
        <v>3.175150992234685</v>
      </c>
      <c r="P191" s="28">
        <f t="shared" si="17"/>
        <v>5.0844622846629868</v>
      </c>
      <c r="Q191" s="28">
        <f t="shared" si="17"/>
        <v>16.648098042336461</v>
      </c>
      <c r="R191" s="28">
        <f t="shared" si="17"/>
        <v>6.5356801746486557</v>
      </c>
      <c r="S191" s="28">
        <f t="shared" si="17"/>
        <v>11.987704918032787</v>
      </c>
      <c r="T191" s="28">
        <f t="shared" si="17"/>
        <v>29.917657822506861</v>
      </c>
      <c r="U191" s="28">
        <f t="shared" si="17"/>
        <v>-22.130281690140848</v>
      </c>
      <c r="V191" s="28">
        <f t="shared" si="17"/>
        <v>-19.839475469138591</v>
      </c>
    </row>
    <row r="192" spans="1:22" s="14" customFormat="1" ht="12.75" x14ac:dyDescent="0.2">
      <c r="A192" s="28" t="s">
        <v>3092</v>
      </c>
      <c r="B192" s="29" t="s">
        <v>3177</v>
      </c>
      <c r="C192" s="29"/>
      <c r="D192" s="30">
        <f t="shared" si="15"/>
        <v>-6.0291060291060292</v>
      </c>
      <c r="E192" s="35">
        <f t="shared" si="17"/>
        <v>-0.22123893805309736</v>
      </c>
      <c r="F192" s="28">
        <f t="shared" si="17"/>
        <v>-15.484109386548411</v>
      </c>
      <c r="G192" s="28">
        <f t="shared" si="17"/>
        <v>2.7984258854394404</v>
      </c>
      <c r="H192" s="28">
        <f t="shared" si="17"/>
        <v>-8.1667375584857513</v>
      </c>
      <c r="I192" s="28">
        <f t="shared" si="17"/>
        <v>0.55581287633163501</v>
      </c>
      <c r="J192" s="28">
        <f t="shared" si="17"/>
        <v>4.4219253800092124</v>
      </c>
      <c r="K192" s="28">
        <f t="shared" si="17"/>
        <v>-7.3224525805028664</v>
      </c>
      <c r="L192" s="28">
        <f t="shared" si="17"/>
        <v>-17.943836268443597</v>
      </c>
      <c r="M192" s="28">
        <f t="shared" si="17"/>
        <v>-17.45939675174014</v>
      </c>
      <c r="N192" s="36">
        <f t="shared" si="17"/>
        <v>-37.385804638088544</v>
      </c>
      <c r="O192" s="28">
        <f t="shared" si="17"/>
        <v>-24.691358024691358</v>
      </c>
      <c r="P192" s="28">
        <f t="shared" si="17"/>
        <v>-25.931445603576751</v>
      </c>
      <c r="Q192" s="28">
        <f t="shared" ref="E192:V206" si="18">(Q143-P143)/P143*100</f>
        <v>-64.788732394366207</v>
      </c>
      <c r="R192" s="28">
        <f t="shared" si="18"/>
        <v>-11.428571428571429</v>
      </c>
      <c r="S192" s="28">
        <f t="shared" si="18"/>
        <v>-53.548387096774199</v>
      </c>
      <c r="T192" s="28">
        <f t="shared" si="18"/>
        <v>-15.277777777777779</v>
      </c>
      <c r="U192" s="28">
        <f t="shared" si="18"/>
        <v>-39.344262295081968</v>
      </c>
      <c r="V192" s="28">
        <f t="shared" si="18"/>
        <v>-35.135135135135137</v>
      </c>
    </row>
    <row r="193" spans="1:22" s="14" customFormat="1" ht="12.75" x14ac:dyDescent="0.2">
      <c r="A193" s="28" t="s">
        <v>3092</v>
      </c>
      <c r="B193" s="29" t="s">
        <v>3178</v>
      </c>
      <c r="C193" s="29"/>
      <c r="D193" s="30"/>
      <c r="E193" s="35"/>
      <c r="F193" s="28"/>
      <c r="G193" s="28"/>
      <c r="H193" s="36"/>
      <c r="I193" s="28"/>
      <c r="J193" s="28"/>
      <c r="K193" s="28"/>
      <c r="L193" s="28"/>
      <c r="M193" s="28"/>
      <c r="N193" s="28">
        <f t="shared" si="18"/>
        <v>-16.80473372781065</v>
      </c>
      <c r="O193" s="28">
        <f t="shared" si="18"/>
        <v>29.160739687055475</v>
      </c>
      <c r="P193" s="28">
        <f t="shared" si="18"/>
        <v>2.643171806167401</v>
      </c>
      <c r="Q193" s="28">
        <f t="shared" si="18"/>
        <v>18.34763948497854</v>
      </c>
      <c r="R193" s="28">
        <f t="shared" si="18"/>
        <v>15.59383499546691</v>
      </c>
      <c r="S193" s="28">
        <f t="shared" si="18"/>
        <v>-15.764705882352942</v>
      </c>
      <c r="T193" s="28">
        <f t="shared" si="18"/>
        <v>13.966480446927374</v>
      </c>
      <c r="U193" s="28">
        <f t="shared" si="18"/>
        <v>-17.401960784313726</v>
      </c>
      <c r="V193" s="28">
        <f t="shared" si="18"/>
        <v>67.952522255192889</v>
      </c>
    </row>
    <row r="194" spans="1:22" s="14" customFormat="1" ht="12.75" x14ac:dyDescent="0.2">
      <c r="A194" s="28" t="s">
        <v>3092</v>
      </c>
      <c r="B194" s="29" t="s">
        <v>3179</v>
      </c>
      <c r="C194" s="29"/>
      <c r="D194" s="30">
        <f t="shared" si="15"/>
        <v>12.586037364798427</v>
      </c>
      <c r="E194" s="35">
        <f t="shared" si="18"/>
        <v>7.9475982532751095</v>
      </c>
      <c r="F194" s="28">
        <f t="shared" si="18"/>
        <v>2.8317152103559873</v>
      </c>
      <c r="G194" s="28">
        <f t="shared" si="18"/>
        <v>8.1825334382376091</v>
      </c>
      <c r="H194" s="28">
        <f t="shared" si="18"/>
        <v>5.4545454545454541</v>
      </c>
      <c r="I194" s="28">
        <f t="shared" si="18"/>
        <v>-0.13793103448275862</v>
      </c>
      <c r="J194" s="28">
        <f t="shared" si="18"/>
        <v>-8.2872928176795568</v>
      </c>
      <c r="K194" s="28">
        <f t="shared" si="18"/>
        <v>-8.6596385542168672</v>
      </c>
      <c r="L194" s="28">
        <f t="shared" si="18"/>
        <v>26.957955482275352</v>
      </c>
      <c r="M194" s="28">
        <f t="shared" si="18"/>
        <v>15.064935064935064</v>
      </c>
      <c r="N194" s="36">
        <f t="shared" si="18"/>
        <v>2.8216704288939054</v>
      </c>
      <c r="O194" s="28">
        <f t="shared" si="18"/>
        <v>-8.4522502744237098</v>
      </c>
      <c r="P194" s="28">
        <f t="shared" si="18"/>
        <v>-15.52757793764988</v>
      </c>
      <c r="Q194" s="28">
        <f t="shared" si="18"/>
        <v>9.7941802696948184</v>
      </c>
      <c r="R194" s="28">
        <f t="shared" si="18"/>
        <v>4.7834518422753716</v>
      </c>
      <c r="S194" s="28">
        <f t="shared" si="18"/>
        <v>-7.464528069093153</v>
      </c>
      <c r="T194" s="28">
        <f t="shared" si="18"/>
        <v>-6.8666666666666671</v>
      </c>
      <c r="U194" s="28">
        <f t="shared" si="18"/>
        <v>-18.539727988546886</v>
      </c>
      <c r="V194" s="28">
        <f t="shared" si="18"/>
        <v>10.456942003514937</v>
      </c>
    </row>
    <row r="195" spans="1:22" s="14" customFormat="1" ht="12.75" x14ac:dyDescent="0.2">
      <c r="A195" s="28" t="s">
        <v>3092</v>
      </c>
      <c r="B195" s="29" t="s">
        <v>3180</v>
      </c>
      <c r="C195" s="29"/>
      <c r="D195" s="30">
        <f t="shared" si="15"/>
        <v>18.992472495657211</v>
      </c>
      <c r="E195" s="35">
        <f t="shared" si="18"/>
        <v>-2.0437956204379564</v>
      </c>
      <c r="F195" s="28">
        <f t="shared" si="18"/>
        <v>14.406358668653752</v>
      </c>
      <c r="G195" s="28">
        <f t="shared" si="18"/>
        <v>3.4303082935301781</v>
      </c>
      <c r="H195" s="36">
        <f t="shared" si="18"/>
        <v>-5.9613769941225856</v>
      </c>
      <c r="I195" s="28">
        <f t="shared" si="18"/>
        <v>2.3660714285714284</v>
      </c>
      <c r="J195" s="28">
        <f t="shared" si="18"/>
        <v>-1.7880505887483646</v>
      </c>
      <c r="K195" s="28">
        <f t="shared" si="18"/>
        <v>6.4387211367673185</v>
      </c>
      <c r="L195" s="28">
        <f t="shared" si="18"/>
        <v>-18.856904463913224</v>
      </c>
      <c r="M195" s="28">
        <f t="shared" si="18"/>
        <v>-4.5758354755784065</v>
      </c>
      <c r="N195" s="28">
        <f t="shared" si="18"/>
        <v>-1.4008620689655173</v>
      </c>
      <c r="O195" s="28">
        <f t="shared" si="18"/>
        <v>-4.1530054644808745</v>
      </c>
      <c r="P195" s="28">
        <f t="shared" si="18"/>
        <v>7.4686431014823267</v>
      </c>
      <c r="Q195" s="28">
        <f t="shared" si="18"/>
        <v>5.9946949602122022</v>
      </c>
      <c r="R195" s="28">
        <f t="shared" si="18"/>
        <v>7.5575575575575575</v>
      </c>
      <c r="S195" s="28">
        <f t="shared" si="18"/>
        <v>-4.792926942764077</v>
      </c>
      <c r="T195" s="28">
        <f t="shared" si="18"/>
        <v>-3.1769305962854348</v>
      </c>
      <c r="U195" s="28">
        <f t="shared" si="18"/>
        <v>3.7859666834931853</v>
      </c>
      <c r="V195" s="28">
        <f t="shared" si="18"/>
        <v>4.0856031128404666</v>
      </c>
    </row>
    <row r="196" spans="1:22" s="14" customFormat="1" ht="12.75" x14ac:dyDescent="0.2">
      <c r="A196" s="28" t="s">
        <v>3092</v>
      </c>
      <c r="B196" s="29" t="s">
        <v>3181</v>
      </c>
      <c r="C196" s="29"/>
      <c r="D196" s="30">
        <f t="shared" si="15"/>
        <v>15.544041450777202</v>
      </c>
      <c r="E196" s="35">
        <f t="shared" si="18"/>
        <v>-0.44843049327354262</v>
      </c>
      <c r="F196" s="28">
        <f t="shared" si="18"/>
        <v>-18.918918918918919</v>
      </c>
      <c r="G196" s="28">
        <f t="shared" si="18"/>
        <v>17.777777777777779</v>
      </c>
      <c r="H196" s="28">
        <f t="shared" si="18"/>
        <v>-9.9056603773584904</v>
      </c>
      <c r="I196" s="28">
        <f t="shared" si="18"/>
        <v>17.277486910994764</v>
      </c>
      <c r="J196" s="28">
        <f t="shared" si="18"/>
        <v>2.2321428571428572</v>
      </c>
      <c r="K196" s="28">
        <f t="shared" si="18"/>
        <v>-7.4235807860262017</v>
      </c>
      <c r="L196" s="28">
        <f t="shared" si="18"/>
        <v>14.150943396226415</v>
      </c>
      <c r="M196" s="28">
        <f t="shared" si="18"/>
        <v>30.991735537190085</v>
      </c>
      <c r="N196" s="36">
        <f t="shared" si="18"/>
        <v>-13.564668769716087</v>
      </c>
      <c r="O196" s="28">
        <f t="shared" si="18"/>
        <v>-100</v>
      </c>
      <c r="P196" s="28"/>
      <c r="Q196" s="28"/>
      <c r="R196" s="28"/>
      <c r="S196" s="28"/>
      <c r="T196" s="28"/>
      <c r="U196" s="28"/>
      <c r="V196" s="28"/>
    </row>
    <row r="197" spans="1:22" s="14" customFormat="1" ht="12.75" x14ac:dyDescent="0.2">
      <c r="A197" s="28" t="s">
        <v>3092</v>
      </c>
      <c r="B197" s="29" t="s">
        <v>3182</v>
      </c>
      <c r="C197" s="29"/>
      <c r="D197" s="30">
        <f t="shared" si="15"/>
        <v>35.338345864661655</v>
      </c>
      <c r="E197" s="35">
        <f t="shared" si="18"/>
        <v>5.5555555555555554</v>
      </c>
      <c r="F197" s="28">
        <f t="shared" si="18"/>
        <v>41.05263157894737</v>
      </c>
      <c r="G197" s="28">
        <f t="shared" si="18"/>
        <v>25.373134328358208</v>
      </c>
      <c r="H197" s="36">
        <f t="shared" si="18"/>
        <v>-8.0357142857142865</v>
      </c>
      <c r="I197" s="28">
        <f t="shared" si="18"/>
        <v>2.5889967637540456</v>
      </c>
      <c r="J197" s="28">
        <f t="shared" si="18"/>
        <v>-1.2618296529968454</v>
      </c>
      <c r="K197" s="28">
        <f t="shared" si="18"/>
        <v>-20.12779552715655</v>
      </c>
      <c r="L197" s="28">
        <f t="shared" si="18"/>
        <v>27.6</v>
      </c>
      <c r="M197" s="28">
        <f t="shared" si="18"/>
        <v>53.918495297805649</v>
      </c>
      <c r="N197" s="28">
        <f t="shared" si="18"/>
        <v>-31.160896130346234</v>
      </c>
      <c r="O197" s="28">
        <f t="shared" si="18"/>
        <v>21.301775147928996</v>
      </c>
      <c r="P197" s="28">
        <f t="shared" si="18"/>
        <v>5.3658536585365857</v>
      </c>
      <c r="Q197" s="28">
        <f t="shared" si="18"/>
        <v>1.3888888888888888</v>
      </c>
      <c r="R197" s="28">
        <f t="shared" si="18"/>
        <v>-3.6529680365296802</v>
      </c>
      <c r="S197" s="28">
        <f t="shared" si="18"/>
        <v>-18.48341232227488</v>
      </c>
      <c r="T197" s="28">
        <f t="shared" si="18"/>
        <v>7.8488372093023253</v>
      </c>
      <c r="U197" s="28">
        <f t="shared" si="18"/>
        <v>-13.477088948787062</v>
      </c>
      <c r="V197" s="28">
        <f t="shared" si="18"/>
        <v>-4.361370716510903</v>
      </c>
    </row>
    <row r="198" spans="1:22" s="14" customFormat="1" ht="12.75" x14ac:dyDescent="0.2">
      <c r="A198" s="28" t="s">
        <v>3092</v>
      </c>
      <c r="B198" s="29" t="s">
        <v>3183</v>
      </c>
      <c r="C198" s="29"/>
      <c r="D198" s="30">
        <f t="shared" si="15"/>
        <v>9.2362344582593252</v>
      </c>
      <c r="E198" s="35">
        <f t="shared" si="18"/>
        <v>27.64227642276423</v>
      </c>
      <c r="F198" s="28">
        <f t="shared" si="18"/>
        <v>17.67515923566879</v>
      </c>
      <c r="G198" s="28">
        <f t="shared" si="18"/>
        <v>3.5994587280108257</v>
      </c>
      <c r="H198" s="28">
        <f t="shared" si="18"/>
        <v>-31.922675026123304</v>
      </c>
      <c r="I198" s="28">
        <f t="shared" si="18"/>
        <v>-16.193399846508058</v>
      </c>
      <c r="J198" s="28">
        <f t="shared" si="18"/>
        <v>23.397435897435898</v>
      </c>
      <c r="K198" s="28">
        <f t="shared" si="18"/>
        <v>9.7217068645640072</v>
      </c>
      <c r="L198" s="28">
        <f t="shared" si="18"/>
        <v>22.996280013527223</v>
      </c>
      <c r="M198" s="28">
        <f t="shared" si="18"/>
        <v>-100</v>
      </c>
      <c r="N198" s="36"/>
      <c r="O198" s="28"/>
      <c r="P198" s="28"/>
      <c r="Q198" s="28"/>
      <c r="R198" s="28"/>
      <c r="S198" s="28"/>
      <c r="T198" s="28"/>
      <c r="U198" s="28"/>
      <c r="V198" s="28"/>
    </row>
    <row r="199" spans="1:22" s="14" customFormat="1" ht="12.75" x14ac:dyDescent="0.2">
      <c r="A199" s="28" t="s">
        <v>3092</v>
      </c>
      <c r="B199" s="29" t="s">
        <v>3184</v>
      </c>
      <c r="C199" s="29"/>
      <c r="D199" s="30">
        <f t="shared" si="15"/>
        <v>5.4020361520880948</v>
      </c>
      <c r="E199" s="35">
        <f t="shared" si="18"/>
        <v>1.1433077074709246</v>
      </c>
      <c r="F199" s="28">
        <f t="shared" si="18"/>
        <v>8.497368933931007</v>
      </c>
      <c r="G199" s="28">
        <f t="shared" si="18"/>
        <v>21.843003412969285</v>
      </c>
      <c r="H199" s="36">
        <f t="shared" si="18"/>
        <v>-3.2286598850066341</v>
      </c>
      <c r="I199" s="28">
        <f t="shared" si="18"/>
        <v>7.1297989031078606</v>
      </c>
      <c r="J199" s="28">
        <f t="shared" si="18"/>
        <v>10.423777019340159</v>
      </c>
      <c r="K199" s="28">
        <f t="shared" si="18"/>
        <v>11.036703155183515</v>
      </c>
      <c r="L199" s="28">
        <f t="shared" si="18"/>
        <v>13.059614938529343</v>
      </c>
      <c r="M199" s="28">
        <f t="shared" si="18"/>
        <v>2.6364382437423064</v>
      </c>
      <c r="N199" s="28">
        <f t="shared" si="18"/>
        <v>-1.7891054472763619</v>
      </c>
      <c r="O199" s="28">
        <f t="shared" si="18"/>
        <v>-22.359047425198455</v>
      </c>
      <c r="P199" s="28">
        <f t="shared" si="18"/>
        <v>-12.806396644383275</v>
      </c>
      <c r="Q199" s="28">
        <f t="shared" si="18"/>
        <v>-4.194227300060132</v>
      </c>
      <c r="R199" s="28">
        <f t="shared" si="18"/>
        <v>-2.3850619802290915</v>
      </c>
      <c r="S199" s="28">
        <f t="shared" si="18"/>
        <v>5.4975084391576914</v>
      </c>
      <c r="T199" s="28">
        <f t="shared" si="18"/>
        <v>21.788816090202651</v>
      </c>
      <c r="U199" s="28">
        <f t="shared" si="18"/>
        <v>20.192668585011887</v>
      </c>
      <c r="V199" s="28">
        <f t="shared" si="18"/>
        <v>87.332153637972311</v>
      </c>
    </row>
    <row r="200" spans="1:22" s="14" customFormat="1" ht="12.75" x14ac:dyDescent="0.2">
      <c r="A200" s="28" t="s">
        <v>3092</v>
      </c>
      <c r="B200" s="29" t="s">
        <v>3185</v>
      </c>
      <c r="C200" s="29"/>
      <c r="D200" s="30">
        <f t="shared" si="15"/>
        <v>28.026692087702575</v>
      </c>
      <c r="E200" s="35">
        <f t="shared" si="18"/>
        <v>-21.742367833209233</v>
      </c>
      <c r="F200" s="28">
        <f t="shared" si="18"/>
        <v>-14.2721217887726</v>
      </c>
      <c r="G200" s="28">
        <f t="shared" si="18"/>
        <v>20.643729189789124</v>
      </c>
      <c r="H200" s="28">
        <f t="shared" si="18"/>
        <v>-10.487580496780129</v>
      </c>
      <c r="I200" s="28">
        <f t="shared" si="18"/>
        <v>-0.8221993833504625</v>
      </c>
      <c r="J200" s="28">
        <f t="shared" si="18"/>
        <v>-9.9481865284974091</v>
      </c>
      <c r="K200" s="28">
        <f t="shared" si="18"/>
        <v>11.852704257767549</v>
      </c>
      <c r="L200" s="28">
        <f t="shared" si="18"/>
        <v>56.275720164609055</v>
      </c>
      <c r="M200" s="28">
        <f t="shared" si="18"/>
        <v>30.217248189598422</v>
      </c>
      <c r="N200" s="36">
        <f t="shared" si="18"/>
        <v>5.5106167846309404</v>
      </c>
      <c r="O200" s="28">
        <f t="shared" si="18"/>
        <v>7.6665069477719214</v>
      </c>
      <c r="P200" s="28">
        <f t="shared" si="18"/>
        <v>5.0734312416555403</v>
      </c>
      <c r="Q200" s="28">
        <f t="shared" si="18"/>
        <v>5.8026260059296915</v>
      </c>
      <c r="R200" s="28">
        <f t="shared" si="18"/>
        <v>5.5244195356285024</v>
      </c>
      <c r="S200" s="28">
        <f t="shared" si="18"/>
        <v>10.50834597875569</v>
      </c>
      <c r="T200" s="28">
        <f t="shared" si="18"/>
        <v>-2.6433230346721595</v>
      </c>
      <c r="U200" s="28">
        <f t="shared" si="18"/>
        <v>7.3695345557122707</v>
      </c>
      <c r="V200" s="28">
        <f t="shared" si="18"/>
        <v>202.88998357963877</v>
      </c>
    </row>
    <row r="201" spans="1:22" s="14" customFormat="1" ht="12.75" x14ac:dyDescent="0.2">
      <c r="A201" s="28" t="s">
        <v>3092</v>
      </c>
      <c r="B201" s="29" t="s">
        <v>3186</v>
      </c>
      <c r="C201" s="29"/>
      <c r="D201" s="30"/>
      <c r="E201" s="35"/>
      <c r="F201" s="28"/>
      <c r="G201" s="28"/>
      <c r="H201" s="36"/>
      <c r="I201" s="28"/>
      <c r="J201" s="28"/>
      <c r="K201" s="28"/>
      <c r="L201" s="28">
        <f t="shared" si="18"/>
        <v>89</v>
      </c>
      <c r="M201" s="28">
        <f t="shared" si="18"/>
        <v>-66.931216931216937</v>
      </c>
      <c r="N201" s="28">
        <f t="shared" si="18"/>
        <v>-57.599999999999994</v>
      </c>
      <c r="O201" s="28">
        <f t="shared" si="18"/>
        <v>122.64150943396226</v>
      </c>
      <c r="P201" s="28">
        <f t="shared" si="18"/>
        <v>56.779661016949156</v>
      </c>
      <c r="Q201" s="28">
        <f t="shared" si="18"/>
        <v>21.081081081081081</v>
      </c>
      <c r="R201" s="28">
        <f t="shared" si="18"/>
        <v>10.714285714285714</v>
      </c>
      <c r="S201" s="28">
        <f t="shared" si="18"/>
        <v>54.435483870967737</v>
      </c>
      <c r="T201" s="28">
        <f t="shared" si="18"/>
        <v>7.0496083550913839</v>
      </c>
      <c r="U201" s="28">
        <f t="shared" si="18"/>
        <v>14.878048780487804</v>
      </c>
      <c r="V201" s="28">
        <f t="shared" si="18"/>
        <v>17.197452229299362</v>
      </c>
    </row>
    <row r="202" spans="1:22" s="14" customFormat="1" ht="12.75" x14ac:dyDescent="0.2">
      <c r="A202" s="28" t="s">
        <v>3092</v>
      </c>
      <c r="B202" s="29" t="s">
        <v>3187</v>
      </c>
      <c r="C202" s="29"/>
      <c r="D202" s="30">
        <f t="shared" si="15"/>
        <v>-13.818860877684408</v>
      </c>
      <c r="E202" s="35">
        <f t="shared" si="18"/>
        <v>-4.4420368364030338</v>
      </c>
      <c r="F202" s="28">
        <f t="shared" si="18"/>
        <v>25.736961451247165</v>
      </c>
      <c r="G202" s="28">
        <f t="shared" si="18"/>
        <v>35.076645626690713</v>
      </c>
      <c r="H202" s="28">
        <f t="shared" si="18"/>
        <v>-11.882510013351135</v>
      </c>
      <c r="I202" s="28">
        <f t="shared" si="18"/>
        <v>14.772727272727273</v>
      </c>
      <c r="J202" s="28">
        <f t="shared" si="18"/>
        <v>-6.3366336633663369</v>
      </c>
      <c r="K202" s="28">
        <f t="shared" si="18"/>
        <v>12.755461592670894</v>
      </c>
      <c r="L202" s="28">
        <f t="shared" si="18"/>
        <v>20.1875</v>
      </c>
      <c r="M202" s="28">
        <f t="shared" si="18"/>
        <v>-4.9921996879875197</v>
      </c>
      <c r="N202" s="36">
        <f t="shared" si="18"/>
        <v>-29.447181171319102</v>
      </c>
      <c r="O202" s="28">
        <f t="shared" si="18"/>
        <v>27.307990690457718</v>
      </c>
      <c r="P202" s="28">
        <f t="shared" si="18"/>
        <v>6.5204143814747111</v>
      </c>
      <c r="Q202" s="28">
        <f t="shared" si="18"/>
        <v>-5.0343249427917618</v>
      </c>
      <c r="R202" s="28">
        <f t="shared" si="18"/>
        <v>4.096385542168675</v>
      </c>
      <c r="S202" s="28">
        <f t="shared" si="18"/>
        <v>12.152777777777777</v>
      </c>
      <c r="T202" s="28">
        <f t="shared" si="18"/>
        <v>78.689370485036108</v>
      </c>
      <c r="U202" s="28">
        <f t="shared" si="18"/>
        <v>39.994224660698819</v>
      </c>
      <c r="V202" s="28">
        <f t="shared" si="18"/>
        <v>32.797029702970299</v>
      </c>
    </row>
    <row r="203" spans="1:22" s="14" customFormat="1" ht="12.75" x14ac:dyDescent="0.2">
      <c r="A203" s="28" t="s">
        <v>3092</v>
      </c>
      <c r="B203" s="29" t="s">
        <v>3188</v>
      </c>
      <c r="C203" s="29"/>
      <c r="D203" s="30">
        <f t="shared" si="15"/>
        <v>-1.600985221674877</v>
      </c>
      <c r="E203" s="35">
        <f t="shared" si="18"/>
        <v>10.450563204005006</v>
      </c>
      <c r="F203" s="28">
        <f t="shared" si="18"/>
        <v>9.0651558073654392</v>
      </c>
      <c r="G203" s="28">
        <f t="shared" si="18"/>
        <v>32.987012987012989</v>
      </c>
      <c r="H203" s="36">
        <f t="shared" si="18"/>
        <v>5.8203125</v>
      </c>
      <c r="I203" s="28">
        <f t="shared" si="18"/>
        <v>7.1244001476559609</v>
      </c>
      <c r="J203" s="28">
        <f t="shared" si="18"/>
        <v>6.8917987594762238</v>
      </c>
      <c r="K203" s="28">
        <f t="shared" si="18"/>
        <v>1.1283043197936815</v>
      </c>
      <c r="L203" s="28">
        <f t="shared" si="18"/>
        <v>-1.2113484220592923</v>
      </c>
      <c r="M203" s="28">
        <f t="shared" si="18"/>
        <v>-6.7441110035495324</v>
      </c>
      <c r="N203" s="28">
        <f t="shared" si="18"/>
        <v>2.1453287197231834</v>
      </c>
      <c r="O203" s="28">
        <f t="shared" si="18"/>
        <v>-11.653116531165312</v>
      </c>
      <c r="P203" s="28">
        <f t="shared" si="18"/>
        <v>-11.771472392638037</v>
      </c>
      <c r="Q203" s="28">
        <f t="shared" si="18"/>
        <v>-14.863102998696217</v>
      </c>
      <c r="R203" s="28">
        <f t="shared" si="18"/>
        <v>-19.806023481368047</v>
      </c>
      <c r="S203" s="28">
        <f t="shared" si="18"/>
        <v>-18.650541056651814</v>
      </c>
      <c r="T203" s="28">
        <f t="shared" si="18"/>
        <v>-4.6948356807511731</v>
      </c>
      <c r="U203" s="28">
        <f t="shared" si="18"/>
        <v>-0.73891625615763545</v>
      </c>
      <c r="V203" s="28">
        <f t="shared" si="18"/>
        <v>42.431761786600497</v>
      </c>
    </row>
    <row r="204" spans="1:22" s="14" customFormat="1" ht="12.75" x14ac:dyDescent="0.2">
      <c r="A204" s="28" t="s">
        <v>3092</v>
      </c>
      <c r="B204" s="29" t="s">
        <v>3189</v>
      </c>
      <c r="C204" s="29"/>
      <c r="D204" s="30"/>
      <c r="E204" s="35"/>
      <c r="F204" s="28"/>
      <c r="G204" s="28"/>
      <c r="H204" s="28"/>
      <c r="I204" s="28"/>
      <c r="J204" s="28"/>
      <c r="K204" s="28"/>
      <c r="L204" s="28"/>
      <c r="M204" s="28"/>
      <c r="N204" s="36"/>
      <c r="O204" s="28"/>
      <c r="P204" s="28">
        <f t="shared" si="18"/>
        <v>4.5454545454545459</v>
      </c>
      <c r="Q204" s="28">
        <f t="shared" si="18"/>
        <v>39.130434782608695</v>
      </c>
      <c r="R204" s="28">
        <f t="shared" si="18"/>
        <v>18.75</v>
      </c>
      <c r="S204" s="28">
        <f t="shared" si="18"/>
        <v>34.210526315789473</v>
      </c>
      <c r="T204" s="28">
        <f t="shared" si="18"/>
        <v>29.411764705882355</v>
      </c>
      <c r="U204" s="28">
        <f t="shared" si="18"/>
        <v>-48.484848484848484</v>
      </c>
      <c r="V204" s="28">
        <f t="shared" si="18"/>
        <v>82.35294117647058</v>
      </c>
    </row>
    <row r="205" spans="1:22" s="14" customFormat="1" ht="12.75" x14ac:dyDescent="0.2">
      <c r="A205" s="28" t="s">
        <v>3092</v>
      </c>
      <c r="B205" s="29" t="s">
        <v>3190</v>
      </c>
      <c r="C205" s="29"/>
      <c r="D205" s="30">
        <f t="shared" si="15"/>
        <v>10.574948665297741</v>
      </c>
      <c r="E205" s="35">
        <f t="shared" si="18"/>
        <v>13.184772516248838</v>
      </c>
      <c r="F205" s="28">
        <f t="shared" si="18"/>
        <v>13.863822805578344</v>
      </c>
      <c r="G205" s="28">
        <f t="shared" si="18"/>
        <v>7.5648414985590771</v>
      </c>
      <c r="H205" s="36">
        <f t="shared" si="18"/>
        <v>-8.2384460817146685</v>
      </c>
      <c r="I205" s="28">
        <f t="shared" si="18"/>
        <v>7.664233576642336</v>
      </c>
      <c r="J205" s="28">
        <f t="shared" si="18"/>
        <v>51.322033898305087</v>
      </c>
      <c r="K205" s="28">
        <f t="shared" si="18"/>
        <v>15.232974910394265</v>
      </c>
      <c r="L205" s="28">
        <f t="shared" si="18"/>
        <v>4.1213063763608089</v>
      </c>
      <c r="M205" s="28">
        <f t="shared" si="18"/>
        <v>14.189693801344285</v>
      </c>
      <c r="N205" s="28">
        <f t="shared" si="18"/>
        <v>6.5075212557226951</v>
      </c>
      <c r="O205" s="28">
        <f t="shared" si="18"/>
        <v>-70.893460239484185</v>
      </c>
      <c r="P205" s="28">
        <f t="shared" si="18"/>
        <v>-96.413502109704638</v>
      </c>
      <c r="Q205" s="28">
        <f t="shared" si="18"/>
        <v>-100</v>
      </c>
      <c r="R205" s="28"/>
      <c r="S205" s="28"/>
      <c r="T205" s="28"/>
      <c r="U205" s="28"/>
      <c r="V205" s="28"/>
    </row>
    <row r="206" spans="1:22" s="14" customFormat="1" ht="12.75" x14ac:dyDescent="0.2">
      <c r="A206" s="28" t="s">
        <v>3092</v>
      </c>
      <c r="B206" s="29" t="s">
        <v>3191</v>
      </c>
      <c r="C206" s="29"/>
      <c r="D206" s="30">
        <f t="shared" si="15"/>
        <v>38.94736842105263</v>
      </c>
      <c r="E206" s="35">
        <f t="shared" si="18"/>
        <v>62.121212121212125</v>
      </c>
      <c r="F206" s="28">
        <f t="shared" ref="E206:V212" si="19">(F157-E157)/E157*100</f>
        <v>14.018691588785046</v>
      </c>
      <c r="G206" s="28">
        <f t="shared" si="19"/>
        <v>-40.57377049180328</v>
      </c>
      <c r="H206" s="28">
        <f t="shared" si="19"/>
        <v>32.41379310344827</v>
      </c>
      <c r="I206" s="28">
        <f t="shared" si="19"/>
        <v>-8.8541666666666679</v>
      </c>
      <c r="J206" s="28">
        <f t="shared" si="19"/>
        <v>-18.285714285714285</v>
      </c>
      <c r="K206" s="28">
        <f t="shared" si="19"/>
        <v>-1.3986013986013985</v>
      </c>
      <c r="L206" s="28">
        <f t="shared" si="19"/>
        <v>7.0921985815602842</v>
      </c>
      <c r="M206" s="28">
        <f t="shared" si="19"/>
        <v>-15.894039735099339</v>
      </c>
      <c r="N206" s="36">
        <f t="shared" si="19"/>
        <v>48.031496062992126</v>
      </c>
      <c r="O206" s="28">
        <f t="shared" si="19"/>
        <v>-76.063829787234042</v>
      </c>
      <c r="P206" s="28">
        <f t="shared" si="19"/>
        <v>-100</v>
      </c>
      <c r="Q206" s="28"/>
      <c r="R206" s="28"/>
      <c r="S206" s="28"/>
      <c r="T206" s="28"/>
      <c r="U206" s="28"/>
      <c r="V206" s="28"/>
    </row>
    <row r="207" spans="1:22" s="14" customFormat="1" ht="12.75" x14ac:dyDescent="0.2">
      <c r="A207" s="28" t="s">
        <v>3092</v>
      </c>
      <c r="B207" s="29" t="s">
        <v>3192</v>
      </c>
      <c r="C207" s="29"/>
      <c r="D207" s="30"/>
      <c r="E207" s="35"/>
      <c r="F207" s="28"/>
      <c r="G207" s="28"/>
      <c r="H207" s="36"/>
      <c r="I207" s="28"/>
      <c r="J207" s="28"/>
      <c r="K207" s="28"/>
      <c r="L207" s="28"/>
      <c r="M207" s="28"/>
      <c r="N207" s="28"/>
      <c r="O207" s="28"/>
      <c r="P207" s="28">
        <f t="shared" si="19"/>
        <v>67.532467532467535</v>
      </c>
      <c r="Q207" s="28">
        <f t="shared" si="19"/>
        <v>57.105943152454785</v>
      </c>
      <c r="R207" s="28">
        <f t="shared" si="19"/>
        <v>167.10526315789474</v>
      </c>
      <c r="S207" s="28">
        <f t="shared" si="19"/>
        <v>35.406403940886698</v>
      </c>
      <c r="T207" s="28">
        <f t="shared" si="19"/>
        <v>10.186448385629831</v>
      </c>
      <c r="U207" s="28">
        <f t="shared" si="19"/>
        <v>16.260833677259594</v>
      </c>
      <c r="V207" s="28">
        <f t="shared" si="19"/>
        <v>17.642882499112531</v>
      </c>
    </row>
    <row r="208" spans="1:22" s="14" customFormat="1" ht="12.75" x14ac:dyDescent="0.2">
      <c r="A208" s="28" t="s">
        <v>3092</v>
      </c>
      <c r="B208" s="29" t="s">
        <v>3193</v>
      </c>
      <c r="C208" s="29"/>
      <c r="D208" s="30"/>
      <c r="E208" s="35"/>
      <c r="F208" s="28"/>
      <c r="G208" s="28"/>
      <c r="H208" s="28"/>
      <c r="I208" s="28"/>
      <c r="J208" s="28"/>
      <c r="K208" s="28"/>
      <c r="L208" s="28"/>
      <c r="M208" s="28"/>
      <c r="N208" s="36"/>
      <c r="O208" s="28"/>
      <c r="P208" s="28"/>
      <c r="Q208" s="28"/>
      <c r="R208" s="28"/>
      <c r="S208" s="28"/>
      <c r="T208" s="28"/>
      <c r="U208" s="28"/>
      <c r="V208" s="28"/>
    </row>
    <row r="209" spans="1:22" s="14" customFormat="1" ht="12.75" x14ac:dyDescent="0.2">
      <c r="A209" s="28" t="s">
        <v>3092</v>
      </c>
      <c r="B209" s="29" t="s">
        <v>3194</v>
      </c>
      <c r="C209" s="29"/>
      <c r="D209" s="30">
        <f t="shared" si="15"/>
        <v>2.7752058256800378</v>
      </c>
      <c r="E209" s="35">
        <f t="shared" si="19"/>
        <v>4.4655466277087896</v>
      </c>
      <c r="F209" s="28">
        <f t="shared" si="19"/>
        <v>3.1022748461681893</v>
      </c>
      <c r="G209" s="28">
        <f t="shared" si="19"/>
        <v>4.2138578049056177</v>
      </c>
      <c r="H209" s="36">
        <f t="shared" si="19"/>
        <v>-1.5228096054144342</v>
      </c>
      <c r="I209" s="28">
        <f t="shared" si="19"/>
        <v>-1.2599951538647929</v>
      </c>
      <c r="J209" s="28">
        <f t="shared" si="19"/>
        <v>-0.26993865030674846</v>
      </c>
      <c r="K209" s="28">
        <f t="shared" si="19"/>
        <v>13.166607015032211</v>
      </c>
      <c r="L209" s="28">
        <f t="shared" si="19"/>
        <v>12.330500098833761</v>
      </c>
      <c r="M209" s="28">
        <f t="shared" si="19"/>
        <v>1.1068487365383262</v>
      </c>
      <c r="N209" s="28">
        <f t="shared" si="19"/>
        <v>-7.0435282037001583</v>
      </c>
      <c r="O209" s="28">
        <f t="shared" si="19"/>
        <v>-1.887287024901704</v>
      </c>
      <c r="P209" s="28">
        <f t="shared" si="19"/>
        <v>-2.0877065760848823</v>
      </c>
      <c r="Q209" s="28">
        <f t="shared" si="19"/>
        <v>-7.174319794184143</v>
      </c>
      <c r="R209" s="28">
        <f t="shared" si="19"/>
        <v>2.1584395405967203</v>
      </c>
      <c r="S209" s="28">
        <f t="shared" si="19"/>
        <v>-1.8518137909772889</v>
      </c>
      <c r="T209" s="28">
        <f t="shared" si="19"/>
        <v>2.7411316329522135</v>
      </c>
      <c r="U209" s="28">
        <f t="shared" si="19"/>
        <v>-0.64406986935164989</v>
      </c>
      <c r="V209" s="28">
        <f t="shared" si="19"/>
        <v>-13.481855293659098</v>
      </c>
    </row>
    <row r="210" spans="1:22" s="14" customFormat="1" ht="12.75" x14ac:dyDescent="0.2">
      <c r="A210" s="28" t="s">
        <v>3092</v>
      </c>
      <c r="B210" s="29" t="s">
        <v>3195</v>
      </c>
      <c r="C210" s="29"/>
      <c r="D210" s="30">
        <f t="shared" si="15"/>
        <v>0</v>
      </c>
      <c r="E210" s="35">
        <f t="shared" si="19"/>
        <v>77.432866016532586</v>
      </c>
      <c r="F210" s="28">
        <f t="shared" si="19"/>
        <v>8.141813646891146</v>
      </c>
      <c r="G210" s="28">
        <f t="shared" si="19"/>
        <v>7.7429983525535411</v>
      </c>
      <c r="H210" s="28">
        <f t="shared" si="19"/>
        <v>-3.5519877675840981</v>
      </c>
      <c r="I210" s="28">
        <f t="shared" si="19"/>
        <v>4.2677996734150323</v>
      </c>
      <c r="J210" s="28">
        <f t="shared" si="19"/>
        <v>-0.34210646353145097</v>
      </c>
      <c r="K210" s="28">
        <f t="shared" si="19"/>
        <v>-4.7609239594776032</v>
      </c>
      <c r="L210" s="28">
        <f t="shared" si="19"/>
        <v>13.607856015763295</v>
      </c>
      <c r="M210" s="28">
        <f t="shared" si="19"/>
        <v>1.4700076144279308</v>
      </c>
      <c r="N210" s="36">
        <f t="shared" si="19"/>
        <v>21.188012868170734</v>
      </c>
      <c r="O210" s="28">
        <f t="shared" si="19"/>
        <v>9.0273198979445581</v>
      </c>
      <c r="P210" s="28">
        <f t="shared" si="19"/>
        <v>8.2488430795119907</v>
      </c>
      <c r="Q210" s="28">
        <f t="shared" si="19"/>
        <v>1.3884165832709889</v>
      </c>
      <c r="R210" s="28">
        <f t="shared" si="19"/>
        <v>5.4512611162220175</v>
      </c>
      <c r="S210" s="28">
        <f t="shared" si="19"/>
        <v>-3.0947696529913986</v>
      </c>
      <c r="T210" s="28">
        <f t="shared" si="19"/>
        <v>-3.874900361044685</v>
      </c>
      <c r="U210" s="28">
        <f t="shared" si="19"/>
        <v>-0.51120455011072852</v>
      </c>
      <c r="V210" s="28">
        <f t="shared" si="19"/>
        <v>8.3066121456378283</v>
      </c>
    </row>
    <row r="211" spans="1:22" s="14" customFormat="1" ht="12.75" x14ac:dyDescent="0.2">
      <c r="A211" s="28" t="s">
        <v>3092</v>
      </c>
      <c r="B211" s="29" t="s">
        <v>3196</v>
      </c>
      <c r="C211" s="29"/>
      <c r="D211" s="30"/>
      <c r="E211" s="35"/>
      <c r="F211" s="28"/>
      <c r="G211" s="28"/>
      <c r="H211" s="36"/>
      <c r="I211" s="28"/>
      <c r="J211" s="28"/>
      <c r="K211" s="28"/>
      <c r="L211" s="28"/>
      <c r="M211" s="28"/>
      <c r="N211" s="28"/>
      <c r="O211" s="28"/>
      <c r="P211" s="28"/>
      <c r="Q211" s="28"/>
      <c r="R211" s="28"/>
      <c r="S211" s="28"/>
      <c r="T211" s="28"/>
      <c r="U211" s="28">
        <f t="shared" si="19"/>
        <v>252.61274158911954</v>
      </c>
      <c r="V211" s="28">
        <f t="shared" si="19"/>
        <v>53.85708485586683</v>
      </c>
    </row>
    <row r="212" spans="1:22" s="14" customFormat="1" ht="12.75" x14ac:dyDescent="0.2">
      <c r="A212" s="28" t="s">
        <v>3092</v>
      </c>
      <c r="B212" s="29" t="s">
        <v>3197</v>
      </c>
      <c r="C212" s="29"/>
      <c r="D212" s="30"/>
      <c r="E212" s="35"/>
      <c r="F212" s="28"/>
      <c r="G212" s="28"/>
      <c r="H212" s="28"/>
      <c r="I212" s="28"/>
      <c r="J212" s="28"/>
      <c r="K212" s="28"/>
      <c r="L212" s="28"/>
      <c r="M212" s="28"/>
      <c r="N212" s="36"/>
      <c r="O212" s="28">
        <f t="shared" si="19"/>
        <v>-7.6749897666803113</v>
      </c>
      <c r="P212" s="28">
        <f t="shared" si="19"/>
        <v>30.569718465972066</v>
      </c>
      <c r="Q212" s="28">
        <f t="shared" si="19"/>
        <v>5.1782682512733453</v>
      </c>
      <c r="R212" s="28">
        <f t="shared" si="19"/>
        <v>33.171912832929785</v>
      </c>
      <c r="S212" s="28">
        <f t="shared" si="19"/>
        <v>32.127272727272725</v>
      </c>
      <c r="T212" s="28">
        <f t="shared" si="19"/>
        <v>11.357277189119765</v>
      </c>
      <c r="U212" s="28">
        <f t="shared" si="19"/>
        <v>-1.2563331548379124</v>
      </c>
      <c r="V212" s="28">
        <f t="shared" si="19"/>
        <v>-5.8693475721675288</v>
      </c>
    </row>
    <row r="213" spans="1:22" s="14" customFormat="1" ht="12.75" x14ac:dyDescent="0.2">
      <c r="A213" s="28" t="s">
        <v>3198</v>
      </c>
      <c r="B213" s="29" t="s">
        <v>3199</v>
      </c>
      <c r="C213" s="29">
        <f>(Fuentes!C1623/Fuentes!C$47)*100000</f>
        <v>365.23050995661805</v>
      </c>
      <c r="D213" s="30">
        <f>(Fuentes!D1623/Fuentes!D$47)*100000</f>
        <v>352.02672742123031</v>
      </c>
      <c r="E213" s="35">
        <f>(Fuentes!E1623/Fuentes!E$47)*100000</f>
        <v>348.9680742814482</v>
      </c>
      <c r="F213" s="28">
        <f>(Fuentes!F1623/Fuentes!F$47)*100000</f>
        <v>387.30864904482058</v>
      </c>
      <c r="G213" s="28">
        <f>(Fuentes!G1623/Fuentes!G$47)*100000</f>
        <v>389.56381329358209</v>
      </c>
      <c r="H213" s="36">
        <f>(Fuentes!H1623/Fuentes!H$47)*100000</f>
        <v>380.64189817538613</v>
      </c>
      <c r="I213" s="28">
        <f>(Fuentes!I1623/Fuentes!I$47)*100000</f>
        <v>371.33155832111765</v>
      </c>
      <c r="J213" s="28">
        <f>(Fuentes!J1623/Fuentes!J$47)*100000</f>
        <v>400.1944525722343</v>
      </c>
      <c r="K213" s="28">
        <f>(Fuentes!K1623/Fuentes!K$47)*100000</f>
        <v>436.7304028755089</v>
      </c>
      <c r="L213" s="28">
        <f>(Fuentes!L1623/Fuentes!L$47)*100000</f>
        <v>482.10730137378317</v>
      </c>
      <c r="M213" s="28">
        <f>(Fuentes!M1623/Fuentes!M$47)*100000</f>
        <v>479.0142866154348</v>
      </c>
      <c r="N213" s="28">
        <f>(Fuentes!N1623/Fuentes!N$47)*100000</f>
        <v>431.06198473176056</v>
      </c>
      <c r="O213" s="28">
        <f>(Fuentes!O1623/Fuentes!O$47)*100000</f>
        <v>471.17100212339687</v>
      </c>
      <c r="P213" s="28">
        <f>(Fuentes!P1623/Fuentes!P$47)*100000</f>
        <v>438.11333533057621</v>
      </c>
      <c r="Q213" s="28">
        <f>(Fuentes!Q1623/Fuentes!Q$47)*100000</f>
        <v>431.54172355644181</v>
      </c>
      <c r="R213" s="28">
        <f>(Fuentes!R1623/Fuentes!R$47)*100000</f>
        <v>440.29388520034342</v>
      </c>
      <c r="S213" s="28">
        <f>(Fuentes!S1623/Fuentes!S$47)*100000</f>
        <v>453.03302080087161</v>
      </c>
      <c r="T213" s="28">
        <f>(Fuentes!T1623/Fuentes!T$47)*100000</f>
        <v>434.24118253309103</v>
      </c>
      <c r="U213" s="28">
        <f>(Fuentes!U1623/Fuentes!U$47)*100000</f>
        <v>430.92757254926801</v>
      </c>
      <c r="V213" s="28">
        <f>(Fuentes!V1623/Fuentes!V$47)*100000</f>
        <v>395.78892759765273</v>
      </c>
    </row>
    <row r="214" spans="1:22" s="14" customFormat="1" ht="12.75" x14ac:dyDescent="0.2">
      <c r="A214" s="28" t="s">
        <v>3198</v>
      </c>
      <c r="B214" s="29" t="s">
        <v>3200</v>
      </c>
      <c r="C214" s="29">
        <f>(Fuentes!C1624/Fuentes!C$47)*100000</f>
        <v>1.239557694825544</v>
      </c>
      <c r="D214" s="30">
        <f>(Fuentes!D1624/Fuentes!D$47)*100000</f>
        <v>1.3912100314843479</v>
      </c>
      <c r="E214" s="35">
        <f>(Fuentes!E1624/Fuentes!E$47)*100000</f>
        <v>1.3673323420588197</v>
      </c>
      <c r="F214" s="28">
        <f>(Fuentes!F1624/Fuentes!F$47)*100000</f>
        <v>1.5172260214051225</v>
      </c>
      <c r="G214" s="28">
        <f>(Fuentes!G1624/Fuentes!G$47)*100000</f>
        <v>1.2283760651646276</v>
      </c>
      <c r="H214" s="28">
        <f>(Fuentes!H1624/Fuentes!H$47)*100000</f>
        <v>1.3522336052350894</v>
      </c>
      <c r="I214" s="28">
        <f>(Fuentes!I1624/Fuentes!I$47)*100000</f>
        <v>2.383926167469411</v>
      </c>
      <c r="J214" s="28">
        <f>(Fuentes!J1624/Fuentes!J$47)*100000</f>
        <v>1.7509947262803576</v>
      </c>
      <c r="K214" s="28">
        <f>(Fuentes!K1624/Fuentes!K$47)*100000</f>
        <v>2.0208488019091346</v>
      </c>
      <c r="L214" s="28">
        <f>(Fuentes!L1624/Fuentes!L$47)*100000</f>
        <v>2.5059645312045165</v>
      </c>
      <c r="M214" s="28">
        <f>(Fuentes!M1624/Fuentes!M$47)*100000</f>
        <v>2.3379461451899846</v>
      </c>
      <c r="N214" s="36">
        <f>(Fuentes!N1624/Fuentes!N$47)*100000</f>
        <v>1.9816438803026122</v>
      </c>
      <c r="O214" s="28">
        <f>(Fuentes!O1624/Fuentes!O$47)*100000</f>
        <v>2.5577915812546981</v>
      </c>
      <c r="P214" s="28">
        <f>(Fuentes!P1624/Fuentes!P$47)*100000</f>
        <v>3.3523127987907908</v>
      </c>
      <c r="Q214" s="28">
        <f>(Fuentes!Q1624/Fuentes!Q$47)*100000</f>
        <v>5.1957640276724719</v>
      </c>
      <c r="R214" s="28">
        <f>(Fuentes!R1624/Fuentes!R$47)*100000</f>
        <v>1.676245755838871</v>
      </c>
      <c r="S214" s="28">
        <f>(Fuentes!S1624/Fuentes!S$47)*100000</f>
        <v>7.1978164442296011</v>
      </c>
      <c r="T214" s="28">
        <f>(Fuentes!T1624/Fuentes!T$47)*100000</f>
        <v>6.0232671939518312</v>
      </c>
      <c r="U214" s="28">
        <f>(Fuentes!U1624/Fuentes!U$47)*100000</f>
        <v>8.3143578767448414</v>
      </c>
      <c r="V214" s="28">
        <f>(Fuentes!V1624/Fuentes!V$47)*100000</f>
        <v>9.0351935617227284</v>
      </c>
    </row>
    <row r="215" spans="1:22" s="14" customFormat="1" ht="12.75" x14ac:dyDescent="0.2">
      <c r="A215" s="28" t="s">
        <v>3198</v>
      </c>
      <c r="B215" s="29" t="s">
        <v>3201</v>
      </c>
      <c r="C215" s="29">
        <f>(Fuentes!C1625/Fuentes!C$47)*100000</f>
        <v>0</v>
      </c>
      <c r="D215" s="30">
        <f>(Fuentes!D1625/Fuentes!D$47)*100000</f>
        <v>0</v>
      </c>
      <c r="E215" s="35">
        <f>(Fuentes!E1625/Fuentes!E$47)*100000</f>
        <v>0</v>
      </c>
      <c r="F215" s="28">
        <f>(Fuentes!F1625/Fuentes!F$47)*100000</f>
        <v>0</v>
      </c>
      <c r="G215" s="28">
        <f>(Fuentes!G1625/Fuentes!G$47)*100000</f>
        <v>0.19268644159445142</v>
      </c>
      <c r="H215" s="36">
        <f>(Fuentes!H1625/Fuentes!H$47)*100000</f>
        <v>0.14234037949843045</v>
      </c>
      <c r="I215" s="28">
        <f>(Fuentes!I1625/Fuentes!I$47)*100000</f>
        <v>1.7528868878451551</v>
      </c>
      <c r="J215" s="28">
        <f>(Fuentes!J1625/Fuentes!J$47)*100000</f>
        <v>0.18431523434530075</v>
      </c>
      <c r="K215" s="28">
        <f>(Fuentes!K1625/Fuentes!K$47)*100000</f>
        <v>0.22706166313585779</v>
      </c>
      <c r="L215" s="28">
        <f>(Fuentes!L1625/Fuentes!L$47)*100000</f>
        <v>0.46986834960084684</v>
      </c>
      <c r="M215" s="28">
        <f>(Fuentes!M1625/Fuentes!M$47)*100000</f>
        <v>1.2130852640136713</v>
      </c>
      <c r="N215" s="28">
        <f>(Fuentes!N1625/Fuentes!N$47)*100000</f>
        <v>0.47907874029293923</v>
      </c>
      <c r="O215" s="28">
        <f>(Fuentes!O1625/Fuentes!O$47)*100000</f>
        <v>0.15045832830909986</v>
      </c>
      <c r="P215" s="28">
        <f>(Fuentes!P1625/Fuentes!P$47)*100000</f>
        <v>0.2546060353511993</v>
      </c>
      <c r="Q215" s="28">
        <f>(Fuentes!Q1625/Fuentes!Q$47)*100000</f>
        <v>0.54471719644953331</v>
      </c>
      <c r="R215" s="28">
        <f>(Fuentes!R1625/Fuentes!R$47)*100000</f>
        <v>4.138878409478694E-2</v>
      </c>
      <c r="S215" s="28">
        <f>(Fuentes!S1625/Fuentes!S$47)*100000</f>
        <v>0.63389860730431147</v>
      </c>
      <c r="T215" s="28">
        <f>(Fuentes!T1625/Fuentes!T$47)*100000</f>
        <v>8.0849224079890356E-2</v>
      </c>
      <c r="U215" s="28">
        <f>(Fuentes!U1625/Fuentes!U$47)*100000</f>
        <v>0.27981012085198981</v>
      </c>
      <c r="V215" s="28">
        <f>(Fuentes!V1625/Fuentes!V$47)*100000</f>
        <v>7.9082656995384928E-2</v>
      </c>
    </row>
    <row r="216" spans="1:22" s="14" customFormat="1" ht="12.75" x14ac:dyDescent="0.2">
      <c r="A216" s="28" t="s">
        <v>3198</v>
      </c>
      <c r="B216" s="29" t="s">
        <v>3202</v>
      </c>
      <c r="C216" s="29">
        <f>(Fuentes!C1626/Fuentes!C$47)*100000</f>
        <v>0</v>
      </c>
      <c r="D216" s="30">
        <f>(Fuentes!D1626/Fuentes!D$47)*100000</f>
        <v>2.5294727845169961E-2</v>
      </c>
      <c r="E216" s="35">
        <f>(Fuentes!E1626/Fuentes!E$47)*100000</f>
        <v>0.19888470429946467</v>
      </c>
      <c r="F216" s="28">
        <f>(Fuentes!F1626/Fuentes!F$47)*100000</f>
        <v>0.26918526186219921</v>
      </c>
      <c r="G216" s="28">
        <f>(Fuentes!G1626/Fuentes!G$47)*100000</f>
        <v>0</v>
      </c>
      <c r="H216" s="28">
        <f>(Fuentes!H1626/Fuentes!H$47)*100000</f>
        <v>0</v>
      </c>
      <c r="I216" s="28">
        <f>(Fuentes!I1626/Fuentes!I$47)*100000</f>
        <v>0</v>
      </c>
      <c r="J216" s="28">
        <f>(Fuentes!J1626/Fuentes!J$47)*100000</f>
        <v>2.3039404293162594E-2</v>
      </c>
      <c r="K216" s="28">
        <f>(Fuentes!K1626/Fuentes!K$47)*100000</f>
        <v>4.5412332627171564E-2</v>
      </c>
      <c r="L216" s="28">
        <f>(Fuentes!L1626/Fuentes!L$47)*100000</f>
        <v>2.237468331432604E-2</v>
      </c>
      <c r="M216" s="28">
        <f>(Fuentes!M1626/Fuentes!M$47)*100000</f>
        <v>2.2056095709339477E-2</v>
      </c>
      <c r="N216" s="36">
        <f>(Fuentes!N1626/Fuentes!N$47)*100000</f>
        <v>4.3552612753903562E-2</v>
      </c>
      <c r="O216" s="28">
        <f>(Fuentes!O1626/Fuentes!O$47)*100000</f>
        <v>0.12896428140779989</v>
      </c>
      <c r="P216" s="28">
        <f>(Fuentes!P1626/Fuentes!P$47)*100000</f>
        <v>8.4868678450399776E-2</v>
      </c>
      <c r="Q216" s="28">
        <f>(Fuentes!Q1626/Fuentes!Q$47)*100000</f>
        <v>6.2851984205715389E-2</v>
      </c>
      <c r="R216" s="28">
        <f>(Fuentes!R1626/Fuentes!R$47)*100000</f>
        <v>2.069439204739347E-2</v>
      </c>
      <c r="S216" s="28">
        <f>(Fuentes!S1626/Fuentes!S$47)*100000</f>
        <v>2.0448342171106821E-2</v>
      </c>
      <c r="T216" s="28">
        <f>(Fuentes!T1626/Fuentes!T$47)*100000</f>
        <v>0</v>
      </c>
      <c r="U216" s="28">
        <f>(Fuentes!U1626/Fuentes!U$47)*100000</f>
        <v>0</v>
      </c>
      <c r="V216" s="28">
        <f>(Fuentes!V1626/Fuentes!V$47)*100000</f>
        <v>0</v>
      </c>
    </row>
    <row r="217" spans="1:22" s="14" customFormat="1" ht="12.75" x14ac:dyDescent="0.2">
      <c r="A217" s="28" t="s">
        <v>3198</v>
      </c>
      <c r="B217" s="29" t="s">
        <v>3203</v>
      </c>
      <c r="C217" s="29">
        <f>(Fuentes!C1627/Fuentes!C$47)*100000</f>
        <v>0.95549238976135675</v>
      </c>
      <c r="D217" s="30">
        <f>(Fuentes!D1627/Fuentes!D$47)*100000</f>
        <v>1.1382627530326481</v>
      </c>
      <c r="E217" s="35">
        <f>(Fuentes!E1627/Fuentes!E$47)*100000</f>
        <v>0.79553881719785868</v>
      </c>
      <c r="F217" s="28">
        <f>(Fuentes!F1627/Fuentes!F$47)*100000</f>
        <v>1.0767410474487968</v>
      </c>
      <c r="G217" s="28">
        <f>(Fuentes!G1627/Fuentes!G$47)*100000</f>
        <v>1.1079470391680957</v>
      </c>
      <c r="H217" s="36">
        <f>(Fuentes!H1627/Fuentes!H$47)*100000</f>
        <v>1.114999639404372</v>
      </c>
      <c r="I217" s="28">
        <f>(Fuentes!I1627/Fuentes!I$47)*100000</f>
        <v>1.0049884823645556</v>
      </c>
      <c r="J217" s="28">
        <f>(Fuentes!J1627/Fuentes!J$47)*100000</f>
        <v>0.71422153308804048</v>
      </c>
      <c r="K217" s="28">
        <f>(Fuentes!K1627/Fuentes!K$47)*100000</f>
        <v>1.1353083156792889</v>
      </c>
      <c r="L217" s="28">
        <f>(Fuentes!L1627/Fuentes!L$47)*100000</f>
        <v>1.051610115773324</v>
      </c>
      <c r="M217" s="28">
        <f>(Fuentes!M1627/Fuentes!M$47)*100000</f>
        <v>0.41906581847745011</v>
      </c>
      <c r="N217" s="28">
        <f>(Fuentes!N1627/Fuentes!N$47)*100000</f>
        <v>0.3484209020312285</v>
      </c>
      <c r="O217" s="28">
        <f>(Fuentes!O1627/Fuentes!O$47)*100000</f>
        <v>0.58033926633509947</v>
      </c>
      <c r="P217" s="28">
        <f>(Fuentes!P1627/Fuentes!P$47)*100000</f>
        <v>0.42434339225199885</v>
      </c>
      <c r="Q217" s="28">
        <f>(Fuentes!Q1627/Fuentes!Q$47)*100000</f>
        <v>0.29330925962667176</v>
      </c>
      <c r="R217" s="28">
        <f>(Fuentes!R1627/Fuentes!R$47)*100000</f>
        <v>0.22763831252132816</v>
      </c>
      <c r="S217" s="28">
        <f>(Fuentes!S1627/Fuentes!S$47)*100000</f>
        <v>0.2044834217110682</v>
      </c>
      <c r="T217" s="28">
        <f>(Fuentes!T1627/Fuentes!T$47)*100000</f>
        <v>0.32339689631956142</v>
      </c>
      <c r="U217" s="28">
        <f>(Fuentes!U1627/Fuentes!U$47)*100000</f>
        <v>0.33976943246313052</v>
      </c>
      <c r="V217" s="28">
        <f>(Fuentes!V1627/Fuentes!V$47)*100000</f>
        <v>0.21747730673730856</v>
      </c>
    </row>
    <row r="218" spans="1:22" s="14" customFormat="1" ht="12.75" x14ac:dyDescent="0.2">
      <c r="A218" s="28" t="s">
        <v>3198</v>
      </c>
      <c r="B218" s="29" t="s">
        <v>3204</v>
      </c>
      <c r="C218" s="29">
        <f>(Fuentes!C1628/Fuentes!C$47)*100000</f>
        <v>0</v>
      </c>
      <c r="D218" s="30">
        <f>(Fuentes!D1628/Fuentes!D$47)*100000</f>
        <v>0</v>
      </c>
      <c r="E218" s="35">
        <f>(Fuentes!E1628/Fuentes!E$47)*100000</f>
        <v>0</v>
      </c>
      <c r="F218" s="28">
        <f>(Fuentes!F1628/Fuentes!F$47)*100000</f>
        <v>0</v>
      </c>
      <c r="G218" s="28">
        <f>(Fuentes!G1628/Fuentes!G$47)*100000</f>
        <v>0</v>
      </c>
      <c r="H218" s="28">
        <f>(Fuentes!H1628/Fuentes!H$47)*100000</f>
        <v>0</v>
      </c>
      <c r="I218" s="28">
        <f>(Fuentes!I1628/Fuentes!I$47)*100000</f>
        <v>0</v>
      </c>
      <c r="J218" s="28">
        <f>(Fuentes!J1628/Fuentes!J$47)*100000</f>
        <v>0</v>
      </c>
      <c r="K218" s="28">
        <f>(Fuentes!K1628/Fuentes!K$47)*100000</f>
        <v>0</v>
      </c>
      <c r="L218" s="28">
        <f>(Fuentes!L1628/Fuentes!L$47)*100000</f>
        <v>0</v>
      </c>
      <c r="M218" s="28">
        <f>(Fuentes!M1628/Fuentes!M$47)*100000</f>
        <v>8.8224382837357909E-2</v>
      </c>
      <c r="N218" s="36">
        <f>(Fuentes!N1628/Fuentes!N$47)*100000</f>
        <v>8.7105225507807124E-2</v>
      </c>
      <c r="O218" s="28">
        <f>(Fuentes!O1628/Fuentes!O$47)*100000</f>
        <v>0.12896428140779989</v>
      </c>
      <c r="P218" s="28">
        <f>(Fuentes!P1628/Fuentes!P$47)*100000</f>
        <v>2.1217169612599944E-2</v>
      </c>
      <c r="Q218" s="28">
        <f>(Fuentes!Q1628/Fuentes!Q$47)*100000</f>
        <v>2.095066140190513E-2</v>
      </c>
      <c r="R218" s="28">
        <f>(Fuentes!R1628/Fuentes!R$47)*100000</f>
        <v>8.277756818957388E-2</v>
      </c>
      <c r="S218" s="28">
        <f>(Fuentes!S1628/Fuentes!S$47)*100000</f>
        <v>0.36807015907992274</v>
      </c>
      <c r="T218" s="28">
        <f>(Fuentes!T1628/Fuentes!T$47)*100000</f>
        <v>8.0849224079890356E-2</v>
      </c>
      <c r="U218" s="28">
        <f>(Fuentes!U1628/Fuentes!U$47)*100000</f>
        <v>0.11991862322228136</v>
      </c>
      <c r="V218" s="28">
        <f>(Fuentes!V1628/Fuentes!V$47)*100000</f>
        <v>7.9082656995384928E-2</v>
      </c>
    </row>
    <row r="219" spans="1:22" s="14" customFormat="1" ht="12.75" x14ac:dyDescent="0.2">
      <c r="A219" s="28" t="s">
        <v>3198</v>
      </c>
      <c r="B219" s="29" t="s">
        <v>3205</v>
      </c>
      <c r="C219" s="29">
        <f>(Fuentes!C1629/Fuentes!C$47)*100000</f>
        <v>0</v>
      </c>
      <c r="D219" s="30">
        <f>(Fuentes!D1629/Fuentes!D$47)*100000</f>
        <v>0</v>
      </c>
      <c r="E219" s="35">
        <f>(Fuentes!E1629/Fuentes!E$47)*100000</f>
        <v>0</v>
      </c>
      <c r="F219" s="28">
        <f>(Fuentes!F1629/Fuentes!F$47)*100000</f>
        <v>0</v>
      </c>
      <c r="G219" s="28">
        <f>(Fuentes!G1629/Fuentes!G$47)*100000</f>
        <v>0</v>
      </c>
      <c r="H219" s="36">
        <f>(Fuentes!H1629/Fuentes!H$47)*100000</f>
        <v>0</v>
      </c>
      <c r="I219" s="28">
        <f>(Fuentes!I1629/Fuentes!I$47)*100000</f>
        <v>0</v>
      </c>
      <c r="J219" s="28">
        <f>(Fuentes!J1629/Fuentes!J$47)*100000</f>
        <v>0</v>
      </c>
      <c r="K219" s="28">
        <f>(Fuentes!K1629/Fuentes!K$47)*100000</f>
        <v>0</v>
      </c>
      <c r="L219" s="28">
        <f>(Fuentes!L1629/Fuentes!L$47)*100000</f>
        <v>0</v>
      </c>
      <c r="M219" s="28">
        <f>(Fuentes!M1629/Fuentes!M$47)*100000</f>
        <v>4.4112191418678955E-2</v>
      </c>
      <c r="N219" s="28">
        <f>(Fuentes!N1629/Fuentes!N$47)*100000</f>
        <v>0</v>
      </c>
      <c r="O219" s="28">
        <f>(Fuentes!O1629/Fuentes!O$47)*100000</f>
        <v>0</v>
      </c>
      <c r="P219" s="28">
        <f>(Fuentes!P1629/Fuentes!P$47)*100000</f>
        <v>2.1217169612599944E-2</v>
      </c>
      <c r="Q219" s="28">
        <f>(Fuentes!Q1629/Fuentes!Q$47)*100000</f>
        <v>2.095066140190513E-2</v>
      </c>
      <c r="R219" s="28">
        <f>(Fuentes!R1629/Fuentes!R$47)*100000</f>
        <v>0</v>
      </c>
      <c r="S219" s="28">
        <f>(Fuentes!S1629/Fuentes!S$47)*100000</f>
        <v>2.0448342171106821E-2</v>
      </c>
      <c r="T219" s="28">
        <f>(Fuentes!T1629/Fuentes!T$47)*100000</f>
        <v>4.0424612039945178E-2</v>
      </c>
      <c r="U219" s="28">
        <f>(Fuentes!U1629/Fuentes!U$47)*100000</f>
        <v>3.9972874407427118E-2</v>
      </c>
      <c r="V219" s="28">
        <f>(Fuentes!V1629/Fuentes!V$47)*100000</f>
        <v>0</v>
      </c>
    </row>
    <row r="220" spans="1:22" s="14" customFormat="1" ht="12.75" x14ac:dyDescent="0.2">
      <c r="A220" s="28" t="s">
        <v>3198</v>
      </c>
      <c r="B220" s="29" t="s">
        <v>3206</v>
      </c>
      <c r="C220" s="29">
        <f>(Fuentes!C1630/Fuentes!C$47)*100000</f>
        <v>0</v>
      </c>
      <c r="D220" s="30">
        <f>(Fuentes!D1630/Fuentes!D$47)*100000</f>
        <v>0</v>
      </c>
      <c r="E220" s="35">
        <f>(Fuentes!E1630/Fuentes!E$47)*100000</f>
        <v>0</v>
      </c>
      <c r="F220" s="28">
        <f>(Fuentes!F1630/Fuentes!F$47)*100000</f>
        <v>0</v>
      </c>
      <c r="G220" s="28">
        <f>(Fuentes!G1630/Fuentes!G$47)*100000</f>
        <v>0</v>
      </c>
      <c r="H220" s="28">
        <f>(Fuentes!H1630/Fuentes!H$47)*100000</f>
        <v>0</v>
      </c>
      <c r="I220" s="28">
        <f>(Fuentes!I1630/Fuentes!I$47)*100000</f>
        <v>0</v>
      </c>
      <c r="J220" s="28">
        <f>(Fuentes!J1630/Fuentes!J$47)*100000</f>
        <v>0</v>
      </c>
      <c r="K220" s="28">
        <f>(Fuentes!K1630/Fuentes!K$47)*100000</f>
        <v>0</v>
      </c>
      <c r="L220" s="28">
        <f>(Fuentes!L1630/Fuentes!L$47)*100000</f>
        <v>0</v>
      </c>
      <c r="M220" s="28">
        <f>(Fuentes!M1630/Fuentes!M$47)*100000</f>
        <v>0.11028047854669738</v>
      </c>
      <c r="N220" s="36">
        <f>(Fuentes!N1630/Fuentes!N$47)*100000</f>
        <v>0.17421045101561425</v>
      </c>
      <c r="O220" s="28">
        <f>(Fuentes!O1630/Fuentes!O$47)*100000</f>
        <v>0.1074702345064999</v>
      </c>
      <c r="P220" s="28">
        <f>(Fuentes!P1630/Fuentes!P$47)*100000</f>
        <v>4.2434339225199888E-2</v>
      </c>
      <c r="Q220" s="28">
        <f>(Fuentes!Q1630/Fuentes!Q$47)*100000</f>
        <v>0.10475330700952563</v>
      </c>
      <c r="R220" s="28">
        <f>(Fuentes!R1630/Fuentes!R$47)*100000</f>
        <v>0.12416635228436081</v>
      </c>
      <c r="S220" s="28">
        <f>(Fuentes!S1630/Fuentes!S$47)*100000</f>
        <v>0.34762181690881594</v>
      </c>
      <c r="T220" s="28">
        <f>(Fuentes!T1630/Fuentes!T$47)*100000</f>
        <v>0.14148614213980812</v>
      </c>
      <c r="U220" s="28">
        <f>(Fuentes!U1630/Fuentes!U$47)*100000</f>
        <v>0.1399050604259949</v>
      </c>
      <c r="V220" s="28">
        <f>(Fuentes!V1630/Fuentes!V$47)*100000</f>
        <v>0.21747730673730856</v>
      </c>
    </row>
    <row r="221" spans="1:22" s="14" customFormat="1" ht="12.75" x14ac:dyDescent="0.2">
      <c r="A221" s="28" t="s">
        <v>3198</v>
      </c>
      <c r="B221" s="29" t="s">
        <v>3207</v>
      </c>
      <c r="C221" s="29">
        <f>(Fuentes!C1631/Fuentes!C$47)*100000</f>
        <v>0</v>
      </c>
      <c r="D221" s="30">
        <f>(Fuentes!D1631/Fuentes!D$47)*100000</f>
        <v>0</v>
      </c>
      <c r="E221" s="35">
        <f>(Fuentes!E1631/Fuentes!E$47)*100000</f>
        <v>0</v>
      </c>
      <c r="F221" s="28">
        <f>(Fuentes!F1631/Fuentes!F$47)*100000</f>
        <v>0</v>
      </c>
      <c r="G221" s="28">
        <f>(Fuentes!G1631/Fuentes!G$47)*100000</f>
        <v>0</v>
      </c>
      <c r="H221" s="36">
        <f>(Fuentes!H1631/Fuentes!H$47)*100000</f>
        <v>0.16606377608150222</v>
      </c>
      <c r="I221" s="28">
        <f>(Fuentes!I1631/Fuentes!I$47)*100000</f>
        <v>4.6743650342537468E-2</v>
      </c>
      <c r="J221" s="28">
        <f>(Fuentes!J1631/Fuentes!J$47)*100000</f>
        <v>9.2157617172650377E-2</v>
      </c>
      <c r="K221" s="28">
        <f>(Fuentes!K1631/Fuentes!K$47)*100000</f>
        <v>0.22706166313585779</v>
      </c>
      <c r="L221" s="28">
        <f>(Fuentes!L1631/Fuentes!L$47)*100000</f>
        <v>4.4749366628652081E-2</v>
      </c>
      <c r="M221" s="28">
        <f>(Fuentes!M1631/Fuentes!M$47)*100000</f>
        <v>2.2056095709339477E-2</v>
      </c>
      <c r="N221" s="28">
        <f>(Fuentes!N1631/Fuentes!N$47)*100000</f>
        <v>0.23953937014646962</v>
      </c>
      <c r="O221" s="28">
        <f>(Fuentes!O1631/Fuentes!O$47)*100000</f>
        <v>6.4482140703899946E-2</v>
      </c>
      <c r="P221" s="28">
        <f>(Fuentes!P1631/Fuentes!P$47)*100000</f>
        <v>0.1909545265133995</v>
      </c>
      <c r="Q221" s="28">
        <f>(Fuentes!Q1631/Fuentes!Q$47)*100000</f>
        <v>8.3802645607620518E-2</v>
      </c>
      <c r="R221" s="28">
        <f>(Fuentes!R1631/Fuentes!R$47)*100000</f>
        <v>0.22763831252132816</v>
      </c>
      <c r="S221" s="28">
        <f>(Fuentes!S1631/Fuentes!S$47)*100000</f>
        <v>4.0896684342213642E-2</v>
      </c>
      <c r="T221" s="28">
        <f>(Fuentes!T1631/Fuentes!T$47)*100000</f>
        <v>0</v>
      </c>
      <c r="U221" s="28">
        <f>(Fuentes!U1631/Fuentes!U$47)*100000</f>
        <v>0</v>
      </c>
      <c r="V221" s="28">
        <f>(Fuentes!V1631/Fuentes!V$47)*100000</f>
        <v>7.9082656995384928E-2</v>
      </c>
    </row>
    <row r="222" spans="1:22" s="14" customFormat="1" ht="12.75" x14ac:dyDescent="0.2">
      <c r="A222" s="28" t="s">
        <v>3198</v>
      </c>
      <c r="B222" s="29" t="s">
        <v>3208</v>
      </c>
      <c r="C222" s="29">
        <f>(Fuentes!C1632/Fuentes!C$47)*100000</f>
        <v>0</v>
      </c>
      <c r="D222" s="30">
        <f>(Fuentes!D1632/Fuentes!D$47)*100000</f>
        <v>0</v>
      </c>
      <c r="E222" s="35">
        <f>(Fuentes!E1632/Fuentes!E$47)*100000</f>
        <v>0</v>
      </c>
      <c r="F222" s="28">
        <f>(Fuentes!F1632/Fuentes!F$47)*100000</f>
        <v>0</v>
      </c>
      <c r="G222" s="28">
        <f>(Fuentes!G1632/Fuentes!G$47)*100000</f>
        <v>0</v>
      </c>
      <c r="H222" s="28">
        <f>(Fuentes!H1632/Fuentes!H$47)*100000</f>
        <v>0</v>
      </c>
      <c r="I222" s="28">
        <f>(Fuentes!I1632/Fuentes!I$47)*100000</f>
        <v>0</v>
      </c>
      <c r="J222" s="28">
        <f>(Fuentes!J1632/Fuentes!J$47)*100000</f>
        <v>0</v>
      </c>
      <c r="K222" s="28">
        <f>(Fuentes!K1632/Fuentes!K$47)*100000</f>
        <v>0</v>
      </c>
      <c r="L222" s="28">
        <f>(Fuentes!L1632/Fuentes!L$47)*100000</f>
        <v>13.670931505053209</v>
      </c>
      <c r="M222" s="28">
        <f>(Fuentes!M1632/Fuentes!M$47)*100000</f>
        <v>17.027305887610076</v>
      </c>
      <c r="N222" s="36">
        <f>(Fuentes!N1632/Fuentes!N$47)*100000</f>
        <v>11.955192200946529</v>
      </c>
      <c r="O222" s="28">
        <f>(Fuentes!O1632/Fuentes!O$47)*100000</f>
        <v>24.91160035860668</v>
      </c>
      <c r="P222" s="28">
        <f>(Fuentes!P1632/Fuentes!P$47)*100000</f>
        <v>29.767688966477721</v>
      </c>
      <c r="Q222" s="28">
        <f>(Fuentes!Q1632/Fuentes!Q$47)*100000</f>
        <v>30.608916308183389</v>
      </c>
      <c r="R222" s="28">
        <f>(Fuentes!R1632/Fuentes!R$47)*100000</f>
        <v>24.171049911355571</v>
      </c>
      <c r="S222" s="28">
        <f>(Fuentes!S1632/Fuentes!S$47)*100000</f>
        <v>17.176607423729727</v>
      </c>
      <c r="T222" s="28">
        <f>(Fuentes!T1632/Fuentes!T$47)*100000</f>
        <v>3.921187367874682</v>
      </c>
      <c r="U222" s="28">
        <f>(Fuentes!U1632/Fuentes!U$47)*100000</f>
        <v>2.7981012085198982</v>
      </c>
      <c r="V222" s="28">
        <f>(Fuentes!V1632/Fuentes!V$47)*100000</f>
        <v>3.1039942870688586</v>
      </c>
    </row>
    <row r="223" spans="1:22" s="14" customFormat="1" ht="12.75" x14ac:dyDescent="0.2">
      <c r="A223" s="28" t="s">
        <v>3198</v>
      </c>
      <c r="B223" s="29" t="s">
        <v>3209</v>
      </c>
      <c r="C223" s="29">
        <f>(Fuentes!C1633/Fuentes!C$47)*100000</f>
        <v>139.0628788882407</v>
      </c>
      <c r="D223" s="30">
        <f>(Fuentes!D1633/Fuentes!D$47)*100000</f>
        <v>139.67748716102852</v>
      </c>
      <c r="E223" s="35">
        <f>(Fuentes!E1633/Fuentes!E$47)*100000</f>
        <v>139.36845653784985</v>
      </c>
      <c r="F223" s="28">
        <f>(Fuentes!F1633/Fuentes!F$47)*100000</f>
        <v>148.88392119723815</v>
      </c>
      <c r="G223" s="28">
        <f>(Fuentes!G1633/Fuentes!G$47)*100000</f>
        <v>157.30439375667027</v>
      </c>
      <c r="H223" s="36">
        <f>(Fuentes!H1633/Fuentes!H$47)*100000</f>
        <v>143.57399612075019</v>
      </c>
      <c r="I223" s="28">
        <f>(Fuentes!I1633/Fuentes!I$47)*100000</f>
        <v>138.61829509079487</v>
      </c>
      <c r="J223" s="28">
        <f>(Fuentes!J1633/Fuentes!J$47)*100000</f>
        <v>148.12033020074233</v>
      </c>
      <c r="K223" s="28">
        <f>(Fuentes!K1633/Fuentes!K$47)*100000</f>
        <v>153.26662261670401</v>
      </c>
      <c r="L223" s="28">
        <f>(Fuentes!L1633/Fuentes!L$47)*100000</f>
        <v>152.72958830358954</v>
      </c>
      <c r="M223" s="28">
        <f>(Fuentes!M1633/Fuentes!M$47)*100000</f>
        <v>158.38482328876677</v>
      </c>
      <c r="N223" s="28">
        <f>(Fuentes!N1633/Fuentes!N$47)*100000</f>
        <v>148.34019903979555</v>
      </c>
      <c r="O223" s="28">
        <f>(Fuentes!O1633/Fuentes!O$47)*100000</f>
        <v>159.07744111652116</v>
      </c>
      <c r="P223" s="28">
        <f>(Fuentes!P1633/Fuentes!P$47)*100000</f>
        <v>144.65866241870643</v>
      </c>
      <c r="Q223" s="28">
        <f>(Fuentes!Q1633/Fuentes!Q$47)*100000</f>
        <v>134.60799950724044</v>
      </c>
      <c r="R223" s="28">
        <f>(Fuentes!R1633/Fuentes!R$47)*100000</f>
        <v>141.9428350530718</v>
      </c>
      <c r="S223" s="28">
        <f>(Fuentes!S1633/Fuentes!S$47)*100000</f>
        <v>131.85091031929676</v>
      </c>
      <c r="T223" s="28">
        <f>(Fuentes!T1633/Fuentes!T$47)*100000</f>
        <v>132.06720753450088</v>
      </c>
      <c r="U223" s="28">
        <f>(Fuentes!U1633/Fuentes!U$47)*100000</f>
        <v>155.53445431929893</v>
      </c>
      <c r="V223" s="28">
        <f>(Fuentes!V1633/Fuentes!V$47)*100000</f>
        <v>138.15740177093747</v>
      </c>
    </row>
    <row r="224" spans="1:22" s="14" customFormat="1" ht="12.75" x14ac:dyDescent="0.2">
      <c r="A224" s="28" t="s">
        <v>3198</v>
      </c>
      <c r="B224" s="29" t="s">
        <v>3210</v>
      </c>
      <c r="C224" s="29">
        <f>(Fuentes!C1634/Fuentes!C$47)*100000</f>
        <v>5.1648237284397658E-2</v>
      </c>
      <c r="D224" s="30">
        <f>(Fuentes!D1634/Fuentes!D$47)*100000</f>
        <v>5.0589455690339923E-2</v>
      </c>
      <c r="E224" s="35">
        <f>(Fuentes!E1634/Fuentes!E$47)*100000</f>
        <v>7.4581764112299248E-2</v>
      </c>
      <c r="F224" s="28">
        <f>(Fuentes!F1634/Fuentes!F$47)*100000</f>
        <v>0.19577109953614485</v>
      </c>
      <c r="G224" s="28">
        <f>(Fuentes!G1634/Fuentes!G$47)*100000</f>
        <v>0.14451483119583855</v>
      </c>
      <c r="H224" s="28">
        <f>(Fuentes!H1634/Fuentes!H$47)*100000</f>
        <v>0.11861698291535872</v>
      </c>
      <c r="I224" s="28">
        <f>(Fuentes!I1634/Fuentes!I$47)*100000</f>
        <v>0.21034642654141861</v>
      </c>
      <c r="J224" s="28">
        <f>(Fuentes!J1634/Fuentes!J$47)*100000</f>
        <v>2.3039404293162594E-2</v>
      </c>
      <c r="K224" s="28">
        <f>(Fuentes!K1634/Fuentes!K$47)*100000</f>
        <v>0.13623699788151469</v>
      </c>
      <c r="L224" s="28">
        <f>(Fuentes!L1634/Fuentes!L$47)*100000</f>
        <v>0.17899746651460832</v>
      </c>
      <c r="M224" s="28">
        <f>(Fuentes!M1634/Fuentes!M$47)*100000</f>
        <v>0.24261705280273427</v>
      </c>
      <c r="N224" s="36">
        <f>(Fuentes!N1634/Fuentes!N$47)*100000</f>
        <v>0.21776306376951785</v>
      </c>
      <c r="O224" s="28">
        <f>(Fuentes!O1634/Fuentes!O$47)*100000</f>
        <v>0.23643451591429979</v>
      </c>
      <c r="P224" s="28">
        <f>(Fuentes!P1634/Fuentes!P$47)*100000</f>
        <v>0.2970403745763992</v>
      </c>
      <c r="Q224" s="28">
        <f>(Fuentes!Q1634/Fuentes!Q$47)*100000</f>
        <v>0.16760529121524104</v>
      </c>
      <c r="R224" s="28">
        <f>(Fuentes!R1634/Fuentes!R$47)*100000</f>
        <v>0.28972148866350855</v>
      </c>
      <c r="S224" s="28">
        <f>(Fuentes!S1634/Fuentes!S$47)*100000</f>
        <v>0.26582844822438867</v>
      </c>
      <c r="T224" s="28">
        <f>(Fuentes!T1634/Fuentes!T$47)*100000</f>
        <v>0.38403381437947914</v>
      </c>
      <c r="U224" s="28">
        <f>(Fuentes!U1634/Fuentes!U$47)*100000</f>
        <v>0.11991862322228136</v>
      </c>
      <c r="V224" s="28">
        <f>(Fuentes!V1634/Fuentes!V$47)*100000</f>
        <v>0.1779359782396161</v>
      </c>
    </row>
    <row r="225" spans="1:22" s="14" customFormat="1" ht="12.75" x14ac:dyDescent="0.2">
      <c r="A225" s="28" t="s">
        <v>3198</v>
      </c>
      <c r="B225" s="29" t="s">
        <v>3211</v>
      </c>
      <c r="C225" s="29">
        <f>(Fuentes!C1635/Fuentes!C$47)*100000</f>
        <v>0</v>
      </c>
      <c r="D225" s="30">
        <f>(Fuentes!D1635/Fuentes!D$47)*100000</f>
        <v>0</v>
      </c>
      <c r="E225" s="35">
        <f>(Fuentes!E1635/Fuentes!E$47)*100000</f>
        <v>0.12430294018716544</v>
      </c>
      <c r="F225" s="28">
        <f>(Fuentes!F1635/Fuentes!F$47)*100000</f>
        <v>3.4259942418825351</v>
      </c>
      <c r="G225" s="28">
        <f>(Fuentes!G1635/Fuentes!G$47)*100000</f>
        <v>5.9491938842286869</v>
      </c>
      <c r="H225" s="36">
        <f>(Fuentes!H1635/Fuentes!H$47)*100000</f>
        <v>6.6662744398431597</v>
      </c>
      <c r="I225" s="28">
        <f>(Fuentes!I1635/Fuentes!I$47)*100000</f>
        <v>6.8245729500104702</v>
      </c>
      <c r="J225" s="28">
        <f>(Fuentes!J1635/Fuentes!J$47)*100000</f>
        <v>6.2667179677402256</v>
      </c>
      <c r="K225" s="28">
        <f>(Fuentes!K1635/Fuentes!K$47)*100000</f>
        <v>4.6547640942850848</v>
      </c>
      <c r="L225" s="28">
        <f>(Fuentes!L1635/Fuentes!L$47)*100000</f>
        <v>2.9758328808053633</v>
      </c>
      <c r="M225" s="28">
        <f>(Fuentes!M1635/Fuentes!M$47)*100000</f>
        <v>2.0071047095498922</v>
      </c>
      <c r="N225" s="28">
        <f>(Fuentes!N1635/Fuentes!N$47)*100000</f>
        <v>1.5025651400096731</v>
      </c>
      <c r="O225" s="28">
        <f>(Fuentes!O1635/Fuentes!O$47)*100000</f>
        <v>1.9774523149195982</v>
      </c>
      <c r="P225" s="28">
        <f>(Fuentes!P1635/Fuentes!P$47)*100000</f>
        <v>1.166944328692997</v>
      </c>
      <c r="Q225" s="28">
        <f>(Fuentes!Q1635/Fuentes!Q$47)*100000</f>
        <v>1.9484115103771769</v>
      </c>
      <c r="R225" s="28">
        <f>(Fuentes!R1635/Fuentes!R$47)*100000</f>
        <v>1.7797177160758384</v>
      </c>
      <c r="S225" s="28">
        <f>(Fuentes!S1635/Fuentes!S$47)*100000</f>
        <v>1.4313839519774774</v>
      </c>
      <c r="T225" s="28">
        <f>(Fuentes!T1635/Fuentes!T$47)*100000</f>
        <v>2.1020798260771492</v>
      </c>
      <c r="U225" s="28">
        <f>(Fuentes!U1635/Fuentes!U$47)*100000</f>
        <v>1.3790641670562356</v>
      </c>
      <c r="V225" s="28">
        <f>(Fuentes!V1635/Fuentes!V$47)*100000</f>
        <v>2.0561490818800086</v>
      </c>
    </row>
    <row r="226" spans="1:22" s="14" customFormat="1" ht="12.75" x14ac:dyDescent="0.2">
      <c r="A226" s="28" t="s">
        <v>3198</v>
      </c>
      <c r="B226" s="29" t="s">
        <v>3212</v>
      </c>
      <c r="C226" s="29">
        <f>(Fuentes!C1636/Fuentes!C$47)*100000</f>
        <v>0</v>
      </c>
      <c r="D226" s="30">
        <f>(Fuentes!D1636/Fuentes!D$47)*100000</f>
        <v>0</v>
      </c>
      <c r="E226" s="35">
        <f>(Fuentes!E1636/Fuentes!E$47)*100000</f>
        <v>0</v>
      </c>
      <c r="F226" s="28">
        <f>(Fuentes!F1636/Fuentes!F$47)*100000</f>
        <v>0</v>
      </c>
      <c r="G226" s="28">
        <f>(Fuentes!G1636/Fuentes!G$47)*100000</f>
        <v>0</v>
      </c>
      <c r="H226" s="28">
        <f>(Fuentes!H1636/Fuentes!H$47)*100000</f>
        <v>0</v>
      </c>
      <c r="I226" s="28">
        <f>(Fuentes!I1636/Fuentes!I$47)*100000</f>
        <v>0</v>
      </c>
      <c r="J226" s="28">
        <f>(Fuentes!J1636/Fuentes!J$47)*100000</f>
        <v>0</v>
      </c>
      <c r="K226" s="28">
        <f>(Fuentes!K1636/Fuentes!K$47)*100000</f>
        <v>0</v>
      </c>
      <c r="L226" s="28">
        <f>(Fuentes!L1636/Fuentes!L$47)*100000</f>
        <v>6.7124049942978117E-2</v>
      </c>
      <c r="M226" s="28">
        <f>(Fuentes!M1636/Fuentes!M$47)*100000</f>
        <v>0.28672924422141322</v>
      </c>
      <c r="N226" s="36">
        <f>(Fuentes!N1636/Fuentes!N$47)*100000</f>
        <v>1.6549992846483355</v>
      </c>
      <c r="O226" s="28">
        <f>(Fuentes!O1636/Fuentes!O$47)*100000</f>
        <v>6.2977557420808949</v>
      </c>
      <c r="P226" s="28">
        <f>(Fuentes!P1636/Fuentes!P$47)*100000</f>
        <v>0.8486867845039977</v>
      </c>
      <c r="Q226" s="28">
        <f>(Fuentes!Q1636/Fuentes!Q$47)*100000</f>
        <v>1.4036943139276434</v>
      </c>
      <c r="R226" s="28">
        <f>(Fuentes!R1636/Fuentes!R$47)*100000</f>
        <v>0</v>
      </c>
      <c r="S226" s="28">
        <f>(Fuentes!S1636/Fuentes!S$47)*100000</f>
        <v>2.0243858749395751</v>
      </c>
      <c r="T226" s="28">
        <f>(Fuentes!T1636/Fuentes!T$47)*100000</f>
        <v>0</v>
      </c>
      <c r="U226" s="28">
        <f>(Fuentes!U1636/Fuentes!U$47)*100000</f>
        <v>0</v>
      </c>
      <c r="V226" s="28">
        <f>(Fuentes!V1636/Fuentes!V$47)*100000</f>
        <v>0</v>
      </c>
    </row>
    <row r="227" spans="1:22" s="14" customFormat="1" ht="12.75" x14ac:dyDescent="0.2">
      <c r="A227" s="28" t="s">
        <v>3198</v>
      </c>
      <c r="B227" s="29" t="s">
        <v>3213</v>
      </c>
      <c r="C227" s="29">
        <f>(Fuentes!C1637/Fuentes!C$47)*100000</f>
        <v>14.022496422713964</v>
      </c>
      <c r="D227" s="30">
        <f>(Fuentes!D1637/Fuentes!D$47)*100000</f>
        <v>14.696236878043747</v>
      </c>
      <c r="E227" s="35">
        <f>(Fuentes!E1637/Fuentes!E$47)*100000</f>
        <v>13.723044596663064</v>
      </c>
      <c r="F227" s="28">
        <f>(Fuentes!F1637/Fuentes!F$47)*100000</f>
        <v>12.382522045661162</v>
      </c>
      <c r="G227" s="28">
        <f>(Fuentes!G1637/Fuentes!G$47)*100000</f>
        <v>12.693219340034485</v>
      </c>
      <c r="H227" s="36">
        <f>(Fuentes!H1637/Fuentes!H$47)*100000</f>
        <v>12.597123585611095</v>
      </c>
      <c r="I227" s="28">
        <f>(Fuentes!I1637/Fuentes!I$47)*100000</f>
        <v>12.971362970054148</v>
      </c>
      <c r="J227" s="28">
        <f>(Fuentes!J1637/Fuentes!J$47)*100000</f>
        <v>13.224618064275331</v>
      </c>
      <c r="K227" s="28">
        <f>(Fuentes!K1637/Fuentes!K$47)*100000</f>
        <v>14.600064939635656</v>
      </c>
      <c r="L227" s="28">
        <f>(Fuentes!L1637/Fuentes!L$47)*100000</f>
        <v>13.245812522081016</v>
      </c>
      <c r="M227" s="28">
        <f>(Fuentes!M1637/Fuentes!M$47)*100000</f>
        <v>11.292721003181812</v>
      </c>
      <c r="N227" s="28">
        <f>(Fuentes!N1637/Fuentes!N$47)*100000</f>
        <v>11.454337154276638</v>
      </c>
      <c r="O227" s="28">
        <f>(Fuentes!O1637/Fuentes!O$47)*100000</f>
        <v>12.488041249655291</v>
      </c>
      <c r="P227" s="28">
        <f>(Fuentes!P1637/Fuentes!P$47)*100000</f>
        <v>12.305958375307966</v>
      </c>
      <c r="Q227" s="28">
        <f>(Fuentes!Q1637/Fuentes!Q$47)*100000</f>
        <v>11.983778321889734</v>
      </c>
      <c r="R227" s="28">
        <f>(Fuentes!R1637/Fuentes!R$47)*100000</f>
        <v>12.29246887615172</v>
      </c>
      <c r="S227" s="28">
        <f>(Fuentes!S1637/Fuentes!S$47)*100000</f>
        <v>11.185243167595431</v>
      </c>
      <c r="T227" s="28">
        <f>(Fuentes!T1637/Fuentes!T$47)*100000</f>
        <v>12.673115874522814</v>
      </c>
      <c r="U227" s="28">
        <f>(Fuentes!U1637/Fuentes!U$47)*100000</f>
        <v>11.931903010616995</v>
      </c>
      <c r="V227" s="28">
        <f>(Fuentes!V1637/Fuentes!V$47)*100000</f>
        <v>11.763545228063508</v>
      </c>
    </row>
    <row r="228" spans="1:22" s="14" customFormat="1" ht="12.75" x14ac:dyDescent="0.2">
      <c r="A228" s="28" t="s">
        <v>3198</v>
      </c>
      <c r="B228" s="29" t="s">
        <v>3214</v>
      </c>
      <c r="C228" s="29">
        <f>(Fuentes!C1638/Fuentes!C$47)*100000</f>
        <v>6.1461402368433227</v>
      </c>
      <c r="D228" s="30">
        <f>(Fuentes!D1638/Fuentes!D$47)*100000</f>
        <v>6.4754503283635101</v>
      </c>
      <c r="E228" s="35">
        <f>(Fuentes!E1638/Fuentes!E$47)*100000</f>
        <v>6.2400075973957039</v>
      </c>
      <c r="F228" s="28">
        <f>(Fuentes!F1638/Fuentes!F$47)*100000</f>
        <v>7.1456451330692872</v>
      </c>
      <c r="G228" s="28">
        <f>(Fuentes!G1638/Fuentes!G$47)*100000</f>
        <v>6.3827383778162021</v>
      </c>
      <c r="H228" s="28">
        <f>(Fuentes!H1638/Fuentes!H$47)*100000</f>
        <v>7.1170189749215229</v>
      </c>
      <c r="I228" s="28">
        <f>(Fuentes!I1638/Fuentes!I$47)*100000</f>
        <v>7.8996769078888329</v>
      </c>
      <c r="J228" s="28">
        <f>(Fuentes!J1638/Fuentes!J$47)*100000</f>
        <v>8.2250673326590462</v>
      </c>
      <c r="K228" s="28">
        <f>(Fuentes!K1638/Fuentes!K$47)*100000</f>
        <v>10.989784495775519</v>
      </c>
      <c r="L228" s="28">
        <f>(Fuentes!L1638/Fuentes!L$47)*100000</f>
        <v>10.560850524361891</v>
      </c>
      <c r="M228" s="28">
        <f>(Fuentes!M1638/Fuentes!M$47)*100000</f>
        <v>10.719262514738986</v>
      </c>
      <c r="N228" s="36">
        <f>(Fuentes!N1638/Fuentes!N$47)*100000</f>
        <v>8.5580884061420512</v>
      </c>
      <c r="O228" s="28">
        <f>(Fuentes!O1638/Fuentes!O$47)*100000</f>
        <v>7.7808449782705935</v>
      </c>
      <c r="P228" s="28">
        <f>(Fuentes!P1638/Fuentes!P$47)*100000</f>
        <v>7.9352214351123784</v>
      </c>
      <c r="Q228" s="28">
        <f>(Fuentes!Q1638/Fuentes!Q$47)*100000</f>
        <v>9.6373042448763595</v>
      </c>
      <c r="R228" s="28">
        <f>(Fuentes!R1638/Fuentes!R$47)*100000</f>
        <v>10.409279199838915</v>
      </c>
      <c r="S228" s="28">
        <f>(Fuentes!S1638/Fuentes!S$47)*100000</f>
        <v>9.9378942951579141</v>
      </c>
      <c r="T228" s="28">
        <f>(Fuentes!T1638/Fuentes!T$47)*100000</f>
        <v>10.389125294265909</v>
      </c>
      <c r="U228" s="28">
        <f>(Fuentes!U1638/Fuentes!U$47)*100000</f>
        <v>9.8133406670233576</v>
      </c>
      <c r="V228" s="28">
        <f>(Fuentes!V1638/Fuentes!V$47)*100000</f>
        <v>10.102809431160425</v>
      </c>
    </row>
    <row r="229" spans="1:22" s="14" customFormat="1" ht="12.75" x14ac:dyDescent="0.2">
      <c r="A229" s="28" t="s">
        <v>3198</v>
      </c>
      <c r="B229" s="29" t="s">
        <v>3215</v>
      </c>
      <c r="C229" s="29">
        <f>(Fuentes!C1639/Fuentes!C$47)*100000</f>
        <v>0</v>
      </c>
      <c r="D229" s="30">
        <f>(Fuentes!D1639/Fuentes!D$47)*100000</f>
        <v>0</v>
      </c>
      <c r="E229" s="35">
        <f>(Fuentes!E1639/Fuentes!E$47)*100000</f>
        <v>0</v>
      </c>
      <c r="F229" s="28">
        <f>(Fuentes!F1639/Fuentes!F$47)*100000</f>
        <v>0</v>
      </c>
      <c r="G229" s="28">
        <f>(Fuentes!G1639/Fuentes!G$47)*100000</f>
        <v>0</v>
      </c>
      <c r="H229" s="36">
        <f>(Fuentes!H1639/Fuentes!H$47)*100000</f>
        <v>0</v>
      </c>
      <c r="I229" s="28">
        <f>(Fuentes!I1639/Fuentes!I$47)*100000</f>
        <v>0</v>
      </c>
      <c r="J229" s="28">
        <f>(Fuentes!J1639/Fuentes!J$47)*100000</f>
        <v>0</v>
      </c>
      <c r="K229" s="28">
        <f>(Fuentes!K1639/Fuentes!K$47)*100000</f>
        <v>0</v>
      </c>
      <c r="L229" s="28">
        <f>(Fuentes!L1639/Fuentes!L$47)*100000</f>
        <v>0</v>
      </c>
      <c r="M229" s="28">
        <f>(Fuentes!M1639/Fuentes!M$47)*100000</f>
        <v>0</v>
      </c>
      <c r="N229" s="28">
        <f>(Fuentes!N1639/Fuentes!N$47)*100000</f>
        <v>0</v>
      </c>
      <c r="O229" s="28">
        <f>(Fuentes!O1639/Fuentes!O$47)*100000</f>
        <v>0</v>
      </c>
      <c r="P229" s="28">
        <f>(Fuentes!P1639/Fuentes!P$47)*100000</f>
        <v>1.485201872881996</v>
      </c>
      <c r="Q229" s="28">
        <f>(Fuentes!Q1639/Fuentes!Q$47)*100000</f>
        <v>0</v>
      </c>
      <c r="R229" s="28">
        <f>(Fuentes!R1639/Fuentes!R$47)*100000</f>
        <v>0</v>
      </c>
      <c r="S229" s="28">
        <f>(Fuentes!S1639/Fuentes!S$47)*100000</f>
        <v>0</v>
      </c>
      <c r="T229" s="28">
        <f>(Fuentes!T1639/Fuentes!T$47)*100000</f>
        <v>0</v>
      </c>
      <c r="U229" s="28">
        <f>(Fuentes!U1639/Fuentes!U$47)*100000</f>
        <v>0</v>
      </c>
      <c r="V229" s="28">
        <f>(Fuentes!V1639/Fuentes!V$47)*100000</f>
        <v>2.0363784176311621</v>
      </c>
    </row>
    <row r="230" spans="1:22" s="14" customFormat="1" ht="12.75" x14ac:dyDescent="0.2">
      <c r="A230" s="28" t="s">
        <v>3198</v>
      </c>
      <c r="B230" s="29" t="s">
        <v>3216</v>
      </c>
      <c r="C230" s="29">
        <f>(Fuentes!C1640/Fuentes!C$47)*100000</f>
        <v>0</v>
      </c>
      <c r="D230" s="30">
        <f>(Fuentes!D1640/Fuentes!D$47)*100000</f>
        <v>0</v>
      </c>
      <c r="E230" s="35">
        <f>(Fuentes!E1640/Fuentes!E$47)*100000</f>
        <v>0</v>
      </c>
      <c r="F230" s="28">
        <f>(Fuentes!F1640/Fuentes!F$47)*100000</f>
        <v>0</v>
      </c>
      <c r="G230" s="28">
        <f>(Fuentes!G1640/Fuentes!G$47)*100000</f>
        <v>0</v>
      </c>
      <c r="H230" s="28">
        <f>(Fuentes!H1640/Fuentes!H$47)*100000</f>
        <v>0</v>
      </c>
      <c r="I230" s="28">
        <f>(Fuentes!I1640/Fuentes!I$47)*100000</f>
        <v>0</v>
      </c>
      <c r="J230" s="28">
        <f>(Fuentes!J1640/Fuentes!J$47)*100000</f>
        <v>9.2157617172650377E-2</v>
      </c>
      <c r="K230" s="28">
        <f>(Fuentes!K1640/Fuentes!K$47)*100000</f>
        <v>0.24976782944944356</v>
      </c>
      <c r="L230" s="28">
        <f>(Fuentes!L1640/Fuentes!L$47)*100000</f>
        <v>0</v>
      </c>
      <c r="M230" s="28">
        <f>(Fuentes!M1640/Fuentes!M$47)*100000</f>
        <v>0</v>
      </c>
      <c r="N230" s="36">
        <f>(Fuentes!N1640/Fuentes!N$47)*100000</f>
        <v>0</v>
      </c>
      <c r="O230" s="28">
        <f>(Fuentes!O1640/Fuentes!O$47)*100000</f>
        <v>2.1494046901299982E-2</v>
      </c>
      <c r="P230" s="28">
        <f>(Fuentes!P1640/Fuentes!P$47)*100000</f>
        <v>0</v>
      </c>
      <c r="Q230" s="28">
        <f>(Fuentes!Q1640/Fuentes!Q$47)*100000</f>
        <v>0</v>
      </c>
      <c r="R230" s="28">
        <f>(Fuentes!R1640/Fuentes!R$47)*100000</f>
        <v>0</v>
      </c>
      <c r="S230" s="28">
        <f>(Fuentes!S1640/Fuentes!S$47)*100000</f>
        <v>0</v>
      </c>
      <c r="T230" s="28">
        <f>(Fuentes!T1640/Fuentes!T$47)*100000</f>
        <v>0</v>
      </c>
      <c r="U230" s="28">
        <f>(Fuentes!U1640/Fuentes!U$47)*100000</f>
        <v>0</v>
      </c>
      <c r="V230" s="28">
        <f>(Fuentes!V1640/Fuentes!V$47)*100000</f>
        <v>0</v>
      </c>
    </row>
    <row r="231" spans="1:22" s="14" customFormat="1" ht="12.75" x14ac:dyDescent="0.2">
      <c r="A231" s="28" t="s">
        <v>3198</v>
      </c>
      <c r="B231" s="29" t="s">
        <v>3217</v>
      </c>
      <c r="C231" s="29">
        <f>(Fuentes!C1641/Fuentes!C$47)*100000</f>
        <v>5.4488890335039528</v>
      </c>
      <c r="D231" s="30">
        <f>(Fuentes!D1641/Fuentes!D$47)*100000</f>
        <v>5.5142506702470513</v>
      </c>
      <c r="E231" s="35">
        <f>(Fuentes!E1641/Fuentes!E$47)*100000</f>
        <v>6.5631952418823341</v>
      </c>
      <c r="F231" s="28">
        <f>(Fuentes!F1641/Fuentes!F$47)*100000</f>
        <v>5.2124055251498564</v>
      </c>
      <c r="G231" s="28">
        <f>(Fuentes!G1641/Fuentes!G$47)*100000</f>
        <v>5.3229629490467198</v>
      </c>
      <c r="H231" s="36">
        <f>(Fuentes!H1641/Fuentes!H$47)*100000</f>
        <v>4.9344664892789227</v>
      </c>
      <c r="I231" s="28">
        <f>(Fuentes!I1641/Fuentes!I$47)*100000</f>
        <v>6.0766745445298707</v>
      </c>
      <c r="J231" s="28">
        <f>(Fuentes!J1641/Fuentes!J$47)*100000</f>
        <v>6.5662302235513401</v>
      </c>
      <c r="K231" s="28">
        <f>(Fuentes!K1641/Fuentes!K$47)*100000</f>
        <v>8.8326986959848686</v>
      </c>
      <c r="L231" s="28">
        <f>(Fuentes!L1641/Fuentes!L$47)*100000</f>
        <v>12.127078356364713</v>
      </c>
      <c r="M231" s="28">
        <f>(Fuentes!M1641/Fuentes!M$47)*100000</f>
        <v>11.998516065880676</v>
      </c>
      <c r="N231" s="28">
        <f>(Fuentes!N1641/Fuentes!N$47)*100000</f>
        <v>10.605061205575518</v>
      </c>
      <c r="O231" s="28">
        <f>(Fuentes!O1641/Fuentes!O$47)*100000</f>
        <v>9.6723211055849916</v>
      </c>
      <c r="P231" s="28">
        <f>(Fuentes!P1641/Fuentes!P$47)*100000</f>
        <v>9.9508525483093742</v>
      </c>
      <c r="Q231" s="28">
        <f>(Fuentes!Q1641/Fuentes!Q$47)*100000</f>
        <v>11.418110464038294</v>
      </c>
      <c r="R231" s="28">
        <f>(Fuentes!R1641/Fuentes!R$47)*100000</f>
        <v>14.092880984274952</v>
      </c>
      <c r="S231" s="28">
        <f>(Fuentes!S1641/Fuentes!S$47)*100000</f>
        <v>12.084970223124131</v>
      </c>
      <c r="T231" s="28">
        <f>(Fuentes!T1641/Fuentes!T$47)*100000</f>
        <v>12.086958999943608</v>
      </c>
      <c r="U231" s="28">
        <f>(Fuentes!U1641/Fuentes!U$47)*100000</f>
        <v>22.104999547307198</v>
      </c>
      <c r="V231" s="28">
        <f>(Fuentes!V1641/Fuentes!V$47)*100000</f>
        <v>12.158958513040433</v>
      </c>
    </row>
    <row r="232" spans="1:22" s="14" customFormat="1" ht="12.75" x14ac:dyDescent="0.2">
      <c r="A232" s="28" t="s">
        <v>3198</v>
      </c>
      <c r="B232" s="29" t="s">
        <v>3218</v>
      </c>
      <c r="C232" s="29">
        <f>(Fuentes!C1642/Fuentes!C$47)*100000</f>
        <v>0</v>
      </c>
      <c r="D232" s="30">
        <f>(Fuentes!D1642/Fuentes!D$47)*100000</f>
        <v>0</v>
      </c>
      <c r="E232" s="35">
        <f>(Fuentes!E1642/Fuentes!E$47)*100000</f>
        <v>0</v>
      </c>
      <c r="F232" s="28">
        <f>(Fuentes!F1642/Fuentes!F$47)*100000</f>
        <v>0</v>
      </c>
      <c r="G232" s="28">
        <f>(Fuentes!G1642/Fuentes!G$47)*100000</f>
        <v>0</v>
      </c>
      <c r="H232" s="28">
        <f>(Fuentes!H1642/Fuentes!H$47)*100000</f>
        <v>0</v>
      </c>
      <c r="I232" s="28">
        <f>(Fuentes!I1642/Fuentes!I$47)*100000</f>
        <v>0</v>
      </c>
      <c r="J232" s="28">
        <f>(Fuentes!J1642/Fuentes!J$47)*100000</f>
        <v>0</v>
      </c>
      <c r="K232" s="28">
        <f>(Fuentes!K1642/Fuentes!K$47)*100000</f>
        <v>0</v>
      </c>
      <c r="L232" s="28">
        <f>(Fuentes!L1642/Fuentes!L$47)*100000</f>
        <v>0</v>
      </c>
      <c r="M232" s="28">
        <f>(Fuentes!M1642/Fuentes!M$47)*100000</f>
        <v>0</v>
      </c>
      <c r="N232" s="36">
        <f>(Fuentes!N1642/Fuentes!N$47)*100000</f>
        <v>0</v>
      </c>
      <c r="O232" s="28">
        <f>(Fuentes!O1642/Fuentes!O$47)*100000</f>
        <v>0</v>
      </c>
      <c r="P232" s="28">
        <f>(Fuentes!P1642/Fuentes!P$47)*100000</f>
        <v>0</v>
      </c>
      <c r="Q232" s="28">
        <f>(Fuentes!Q1642/Fuentes!Q$47)*100000</f>
        <v>0.54471719644953331</v>
      </c>
      <c r="R232" s="28">
        <f>(Fuentes!R1642/Fuentes!R$47)*100000</f>
        <v>0.55874858527962368</v>
      </c>
      <c r="S232" s="28">
        <f>(Fuentes!S1642/Fuentes!S$47)*100000</f>
        <v>4.0896684342213642E-2</v>
      </c>
      <c r="T232" s="28">
        <f>(Fuentes!T1642/Fuentes!T$47)*100000</f>
        <v>2.0212306019972589E-2</v>
      </c>
      <c r="U232" s="28">
        <f>(Fuentes!U1642/Fuentes!U$47)*100000</f>
        <v>3.9972874407427118E-2</v>
      </c>
      <c r="V232" s="28">
        <f>(Fuentes!V1642/Fuentes!V$47)*100000</f>
        <v>3.9541328497692464E-2</v>
      </c>
    </row>
    <row r="233" spans="1:22" s="14" customFormat="1" ht="12.75" x14ac:dyDescent="0.2">
      <c r="A233" s="28" t="s">
        <v>3198</v>
      </c>
      <c r="B233" s="29" t="s">
        <v>3219</v>
      </c>
      <c r="C233" s="29">
        <f>(Fuentes!C1643/Fuentes!C$47)*100000</f>
        <v>0</v>
      </c>
      <c r="D233" s="30">
        <f>(Fuentes!D1643/Fuentes!D$47)*100000</f>
        <v>0</v>
      </c>
      <c r="E233" s="35">
        <f>(Fuentes!E1643/Fuentes!E$47)*100000</f>
        <v>0</v>
      </c>
      <c r="F233" s="28">
        <f>(Fuentes!F1643/Fuentes!F$47)*100000</f>
        <v>0</v>
      </c>
      <c r="G233" s="28">
        <f>(Fuentes!G1643/Fuentes!G$47)*100000</f>
        <v>0</v>
      </c>
      <c r="H233" s="36">
        <f>(Fuentes!H1643/Fuentes!H$47)*100000</f>
        <v>0</v>
      </c>
      <c r="I233" s="28">
        <f>(Fuentes!I1643/Fuentes!I$47)*100000</f>
        <v>0</v>
      </c>
      <c r="J233" s="28">
        <f>(Fuentes!J1643/Fuentes!J$47)*100000</f>
        <v>0</v>
      </c>
      <c r="K233" s="28">
        <f>(Fuentes!K1643/Fuentes!K$47)*100000</f>
        <v>0</v>
      </c>
      <c r="L233" s="28">
        <f>(Fuentes!L1643/Fuentes!L$47)*100000</f>
        <v>2.237468331432604E-2</v>
      </c>
      <c r="M233" s="28">
        <f>(Fuentes!M1643/Fuentes!M$47)*100000</f>
        <v>0.28672924422141322</v>
      </c>
      <c r="N233" s="28">
        <f>(Fuentes!N1643/Fuentes!N$47)*100000</f>
        <v>4.3552612753903562E-2</v>
      </c>
      <c r="O233" s="28">
        <f>(Fuentes!O1643/Fuentes!O$47)*100000</f>
        <v>0</v>
      </c>
      <c r="P233" s="28">
        <f>(Fuentes!P1643/Fuentes!P$47)*100000</f>
        <v>4.2434339225199888E-2</v>
      </c>
      <c r="Q233" s="28">
        <f>(Fuentes!Q1643/Fuentes!Q$47)*100000</f>
        <v>4.1901322803810259E-2</v>
      </c>
      <c r="R233" s="28">
        <f>(Fuentes!R1643/Fuentes!R$47)*100000</f>
        <v>2.069439204739347E-2</v>
      </c>
      <c r="S233" s="28">
        <f>(Fuentes!S1643/Fuentes!S$47)*100000</f>
        <v>2.0448342171106821E-2</v>
      </c>
      <c r="T233" s="28">
        <f>(Fuentes!T1643/Fuentes!T$47)*100000</f>
        <v>2.0212306019972589E-2</v>
      </c>
      <c r="U233" s="28">
        <f>(Fuentes!U1643/Fuentes!U$47)*100000</f>
        <v>1.9986437203713559E-2</v>
      </c>
      <c r="V233" s="28">
        <f>(Fuentes!V1643/Fuentes!V$47)*100000</f>
        <v>1.9770664248846232E-2</v>
      </c>
    </row>
    <row r="234" spans="1:22" s="14" customFormat="1" ht="12.75" x14ac:dyDescent="0.2">
      <c r="A234" s="28" t="s">
        <v>3198</v>
      </c>
      <c r="B234" s="29" t="s">
        <v>3220</v>
      </c>
      <c r="C234" s="29">
        <f>(Fuentes!C1644/Fuentes!C$47)*100000</f>
        <v>158.89580200544941</v>
      </c>
      <c r="D234" s="30">
        <f>(Fuentes!D1644/Fuentes!D$47)*100000</f>
        <v>149.11242064727691</v>
      </c>
      <c r="E234" s="35">
        <f>(Fuentes!E1644/Fuentes!E$47)*100000</f>
        <v>140.28829829523488</v>
      </c>
      <c r="F234" s="28">
        <f>(Fuentes!F1644/Fuentes!F$47)*100000</f>
        <v>146.33889690326828</v>
      </c>
      <c r="G234" s="28">
        <f>(Fuentes!G1644/Fuentes!G$47)*100000</f>
        <v>137.40951866204315</v>
      </c>
      <c r="H234" s="28">
        <f>(Fuentes!H1644/Fuentes!H$47)*100000</f>
        <v>138.47346585538978</v>
      </c>
      <c r="I234" s="28">
        <f>(Fuentes!I1644/Fuentes!I$47)*100000</f>
        <v>133.99067370688365</v>
      </c>
      <c r="J234" s="28">
        <f>(Fuentes!J1644/Fuentes!J$47)*100000</f>
        <v>147.56738449770643</v>
      </c>
      <c r="K234" s="28">
        <f>(Fuentes!K1644/Fuentes!K$47)*100000</f>
        <v>161.41813632328132</v>
      </c>
      <c r="L234" s="28">
        <f>(Fuentes!L1644/Fuentes!L$47)*100000</f>
        <v>178.05772981540662</v>
      </c>
      <c r="M234" s="28">
        <f>(Fuentes!M1644/Fuentes!M$47)*100000</f>
        <v>168.83941265499368</v>
      </c>
      <c r="N234" s="36">
        <f>(Fuentes!N1644/Fuentes!N$47)*100000</f>
        <v>156.68052438216807</v>
      </c>
      <c r="O234" s="28">
        <f>(Fuentes!O1644/Fuentes!O$47)*100000</f>
        <v>153.98335200091307</v>
      </c>
      <c r="P234" s="28">
        <f>(Fuentes!P1644/Fuentes!P$47)*100000</f>
        <v>161.44144358227297</v>
      </c>
      <c r="Q234" s="28">
        <f>(Fuentes!Q1644/Fuentes!Q$47)*100000</f>
        <v>156.25003273540844</v>
      </c>
      <c r="R234" s="28">
        <f>(Fuentes!R1644/Fuentes!R$47)*100000</f>
        <v>166.94166064632313</v>
      </c>
      <c r="S234" s="28">
        <f>(Fuentes!S1644/Fuentes!S$47)*100000</f>
        <v>189.04492337188256</v>
      </c>
      <c r="T234" s="28">
        <f>(Fuentes!T1644/Fuentes!T$47)*100000</f>
        <v>210.6526533401543</v>
      </c>
      <c r="U234" s="28">
        <f>(Fuentes!U1644/Fuentes!U$47)*100000</f>
        <v>176.08051176471648</v>
      </c>
      <c r="V234" s="28">
        <f>(Fuentes!V1644/Fuentes!V$47)*100000</f>
        <v>160.81458300011528</v>
      </c>
    </row>
    <row r="235" spans="1:22" s="14" customFormat="1" ht="12.75" x14ac:dyDescent="0.2">
      <c r="A235" s="28" t="s">
        <v>3198</v>
      </c>
      <c r="B235" s="29" t="s">
        <v>3221</v>
      </c>
      <c r="C235" s="29">
        <f>(Fuentes!C1645/Fuentes!C$47)*100000</f>
        <v>0.85219591519256133</v>
      </c>
      <c r="D235" s="30">
        <f>(Fuentes!D1645/Fuentes!D$47)*100000</f>
        <v>0</v>
      </c>
      <c r="E235" s="35">
        <f>(Fuentes!E1645/Fuentes!E$47)*100000</f>
        <v>3.5053429132780654</v>
      </c>
      <c r="F235" s="28">
        <f>(Fuentes!F1645/Fuentes!F$47)*100000</f>
        <v>5.9710185358524184</v>
      </c>
      <c r="G235" s="28">
        <f>(Fuentes!G1645/Fuentes!G$47)*100000</f>
        <v>5.6119926114383967</v>
      </c>
      <c r="H235" s="36">
        <f>(Fuentes!H1645/Fuentes!H$47)*100000</f>
        <v>5.9071257491848641</v>
      </c>
      <c r="I235" s="28">
        <f>(Fuentes!I1645/Fuentes!I$47)*100000</f>
        <v>5.3755197893918094</v>
      </c>
      <c r="J235" s="28">
        <f>(Fuentes!J1645/Fuentes!J$47)*100000</f>
        <v>5.5524964346521859</v>
      </c>
      <c r="K235" s="28">
        <f>(Fuentes!K1645/Fuentes!K$47)*100000</f>
        <v>5.8808970752187166</v>
      </c>
      <c r="L235" s="28">
        <f>(Fuentes!L1645/Fuentes!L$47)*100000</f>
        <v>8.4128809261865918</v>
      </c>
      <c r="M235" s="28">
        <f>(Fuentes!M1645/Fuentes!M$47)*100000</f>
        <v>7.7637456896874966</v>
      </c>
      <c r="N235" s="28">
        <f>(Fuentes!N1645/Fuentes!N$47)*100000</f>
        <v>7.9047992148334965</v>
      </c>
      <c r="O235" s="28">
        <f>(Fuentes!O1645/Fuentes!O$47)*100000</f>
        <v>8.5761247136186931</v>
      </c>
      <c r="P235" s="28">
        <f>(Fuentes!P1645/Fuentes!P$47)*100000</f>
        <v>9.271903120706174</v>
      </c>
      <c r="Q235" s="28">
        <f>(Fuentes!Q1645/Fuentes!Q$47)*100000</f>
        <v>8.0450539783315698</v>
      </c>
      <c r="R235" s="28">
        <f>(Fuentes!R1645/Fuentes!R$47)*100000</f>
        <v>10.74038947259721</v>
      </c>
      <c r="S235" s="28">
        <f>(Fuentes!S1645/Fuentes!S$47)*100000</f>
        <v>11.410174931477606</v>
      </c>
      <c r="T235" s="28">
        <f>(Fuentes!T1645/Fuentes!T$47)*100000</f>
        <v>11.096556004964951</v>
      </c>
      <c r="U235" s="28">
        <f>(Fuentes!U1645/Fuentes!U$47)*100000</f>
        <v>9.4335983601528017</v>
      </c>
      <c r="V235" s="28">
        <f>(Fuentes!V1645/Fuentes!V$47)*100000</f>
        <v>11.644921242570431</v>
      </c>
    </row>
    <row r="236" spans="1:22" s="14" customFormat="1" ht="12.75" x14ac:dyDescent="0.2">
      <c r="A236" s="28" t="s">
        <v>3198</v>
      </c>
      <c r="B236" s="29" t="s">
        <v>3222</v>
      </c>
      <c r="C236" s="29">
        <f>(Fuentes!C1646/Fuentes!C$47)*100000</f>
        <v>0</v>
      </c>
      <c r="D236" s="30">
        <f>(Fuentes!D1646/Fuentes!D$47)*100000</f>
        <v>0</v>
      </c>
      <c r="E236" s="35">
        <f>(Fuentes!E1646/Fuentes!E$47)*100000</f>
        <v>0</v>
      </c>
      <c r="F236" s="28">
        <f>(Fuentes!F1646/Fuentes!F$47)*100000</f>
        <v>0</v>
      </c>
      <c r="G236" s="28">
        <f>(Fuentes!G1646/Fuentes!G$47)*100000</f>
        <v>0</v>
      </c>
      <c r="H236" s="28">
        <f>(Fuentes!H1646/Fuentes!H$47)*100000</f>
        <v>0</v>
      </c>
      <c r="I236" s="28">
        <f>(Fuentes!I1646/Fuentes!I$47)*100000</f>
        <v>0</v>
      </c>
      <c r="J236" s="28">
        <f>(Fuentes!J1646/Fuentes!J$47)*100000</f>
        <v>0</v>
      </c>
      <c r="K236" s="28">
        <f>(Fuentes!K1646/Fuentes!K$47)*100000</f>
        <v>0</v>
      </c>
      <c r="L236" s="28">
        <f>(Fuentes!L1646/Fuentes!L$47)*100000</f>
        <v>8.614253076015526</v>
      </c>
      <c r="M236" s="28">
        <f>(Fuentes!M1646/Fuentes!M$47)*100000</f>
        <v>6.5947726170925041</v>
      </c>
      <c r="N236" s="36">
        <f>(Fuentes!N1646/Fuentes!N$47)*100000</f>
        <v>6.3586814620699208</v>
      </c>
      <c r="O236" s="28">
        <f>(Fuentes!O1646/Fuentes!O$47)*100000</f>
        <v>23.557475403824782</v>
      </c>
      <c r="P236" s="28">
        <f>(Fuentes!P1646/Fuentes!P$47)*100000</f>
        <v>5.240640894312186</v>
      </c>
      <c r="Q236" s="28">
        <f>(Fuentes!Q1646/Fuentes!Q$47)*100000</f>
        <v>12.046630306095448</v>
      </c>
      <c r="R236" s="28">
        <f>(Fuentes!R1646/Fuentes!R$47)*100000</f>
        <v>9.684975478180144</v>
      </c>
      <c r="S236" s="28">
        <f>(Fuentes!S1646/Fuentes!S$47)*100000</f>
        <v>4.5804286463279276</v>
      </c>
      <c r="T236" s="28">
        <f>(Fuentes!T1646/Fuentes!T$47)*100000</f>
        <v>5.1743503411129828</v>
      </c>
      <c r="U236" s="28">
        <f>(Fuentes!U1646/Fuentes!U$47)*100000</f>
        <v>5.1964736729655252</v>
      </c>
      <c r="V236" s="28">
        <f>(Fuentes!V1646/Fuentes!V$47)*100000</f>
        <v>6.1486765813911788</v>
      </c>
    </row>
    <row r="237" spans="1:22" s="14" customFormat="1" ht="12.75" x14ac:dyDescent="0.2">
      <c r="A237" s="28" t="s">
        <v>3198</v>
      </c>
      <c r="B237" s="29" t="s">
        <v>3223</v>
      </c>
      <c r="C237" s="29">
        <f>(Fuentes!C1647/Fuentes!C$47)*100000</f>
        <v>0</v>
      </c>
      <c r="D237" s="30">
        <f>(Fuentes!D1647/Fuentes!D$47)*100000</f>
        <v>0</v>
      </c>
      <c r="E237" s="35">
        <f>(Fuentes!E1647/Fuentes!E$47)*100000</f>
        <v>0</v>
      </c>
      <c r="F237" s="28">
        <f>(Fuentes!F1647/Fuentes!F$47)*100000</f>
        <v>0</v>
      </c>
      <c r="G237" s="28">
        <f>(Fuentes!G1647/Fuentes!G$47)*100000</f>
        <v>0</v>
      </c>
      <c r="H237" s="36">
        <f>(Fuentes!H1647/Fuentes!H$47)*100000</f>
        <v>0</v>
      </c>
      <c r="I237" s="28">
        <f>(Fuentes!I1647/Fuentes!I$47)*100000</f>
        <v>0</v>
      </c>
      <c r="J237" s="28">
        <f>(Fuentes!J1647/Fuentes!J$47)*100000</f>
        <v>0</v>
      </c>
      <c r="K237" s="28">
        <f>(Fuentes!K1647/Fuentes!K$47)*100000</f>
        <v>0</v>
      </c>
      <c r="L237" s="28">
        <f>(Fuentes!L1647/Fuentes!L$47)*100000</f>
        <v>0</v>
      </c>
      <c r="M237" s="28">
        <f>(Fuentes!M1647/Fuentes!M$47)*100000</f>
        <v>0.26467314851207369</v>
      </c>
      <c r="N237" s="28">
        <f>(Fuentes!N1647/Fuentes!N$47)*100000</f>
        <v>0.54440765942379454</v>
      </c>
      <c r="O237" s="28">
        <f>(Fuentes!O1647/Fuentes!O$47)*100000</f>
        <v>0.25792856281559978</v>
      </c>
      <c r="P237" s="28">
        <f>(Fuentes!P1647/Fuentes!P$47)*100000</f>
        <v>0.38190905302679901</v>
      </c>
      <c r="Q237" s="28">
        <f>(Fuentes!Q1647/Fuentes!Q$47)*100000</f>
        <v>0.33521058243048207</v>
      </c>
      <c r="R237" s="28">
        <f>(Fuentes!R1647/Fuentes!R$47)*100000</f>
        <v>0.45527662504265631</v>
      </c>
      <c r="S237" s="28">
        <f>(Fuentes!S1647/Fuentes!S$47)*100000</f>
        <v>0.34762181690881594</v>
      </c>
      <c r="T237" s="28">
        <f>(Fuentes!T1647/Fuentes!T$47)*100000</f>
        <v>0.32339689631956142</v>
      </c>
      <c r="U237" s="28">
        <f>(Fuentes!U1647/Fuentes!U$47)*100000</f>
        <v>0.43970161848169836</v>
      </c>
      <c r="V237" s="28">
        <f>(Fuentes!V1647/Fuentes!V$47)*100000</f>
        <v>0.43495461347461711</v>
      </c>
    </row>
    <row r="238" spans="1:22" s="14" customFormat="1" ht="12.75" x14ac:dyDescent="0.2">
      <c r="A238" s="28" t="s">
        <v>3198</v>
      </c>
      <c r="B238" s="29" t="s">
        <v>3224</v>
      </c>
      <c r="C238" s="29">
        <f>(Fuentes!C1648/Fuentes!C$47)*100000</f>
        <v>38.529585014160652</v>
      </c>
      <c r="D238" s="30">
        <f>(Fuentes!D1648/Fuentes!D$47)*100000</f>
        <v>33.894935312527743</v>
      </c>
      <c r="E238" s="35">
        <f>(Fuentes!E1648/Fuentes!E$47)*100000</f>
        <v>36.545064415026637</v>
      </c>
      <c r="F238" s="28">
        <f>(Fuentes!F1648/Fuentes!F$47)*100000</f>
        <v>54.840379257562574</v>
      </c>
      <c r="G238" s="28">
        <f>(Fuentes!G1648/Fuentes!G$47)*100000</f>
        <v>56.119926114383972</v>
      </c>
      <c r="H238" s="28">
        <f>(Fuentes!H1648/Fuentes!H$47)*100000</f>
        <v>58.454449180688776</v>
      </c>
      <c r="I238" s="28">
        <f>(Fuentes!I1648/Fuentes!I$47)*100000</f>
        <v>54.105775271487119</v>
      </c>
      <c r="J238" s="28">
        <f>(Fuentes!J1648/Fuentes!J$47)*100000</f>
        <v>61.607367079916784</v>
      </c>
      <c r="K238" s="28">
        <f>(Fuentes!K1648/Fuentes!K$47)*100000</f>
        <v>72.977618531864692</v>
      </c>
      <c r="L238" s="28">
        <f>(Fuentes!L1648/Fuentes!L$47)*100000</f>
        <v>77.237406801053481</v>
      </c>
      <c r="M238" s="28">
        <f>(Fuentes!M1648/Fuentes!M$47)*100000</f>
        <v>78.982878735144666</v>
      </c>
      <c r="N238" s="36">
        <f>(Fuentes!N1648/Fuentes!N$47)*100000</f>
        <v>61.844710110543062</v>
      </c>
      <c r="O238" s="28">
        <f>(Fuentes!O1648/Fuentes!O$47)*100000</f>
        <v>58.54978375914115</v>
      </c>
      <c r="P238" s="28">
        <f>(Fuentes!P1648/Fuentes!P$47)*100000</f>
        <v>48.884358787430273</v>
      </c>
      <c r="Q238" s="28">
        <f>(Fuentes!Q1648/Fuentes!Q$47)*100000</f>
        <v>45.274379289516979</v>
      </c>
      <c r="R238" s="28">
        <f>(Fuentes!R1648/Fuentes!R$47)*100000</f>
        <v>43.830722356379361</v>
      </c>
      <c r="S238" s="28">
        <f>(Fuentes!S1648/Fuentes!S$47)*100000</f>
        <v>51.897892430269103</v>
      </c>
      <c r="T238" s="28">
        <f>(Fuentes!T1648/Fuentes!T$47)*100000</f>
        <v>25.164320994865875</v>
      </c>
      <c r="U238" s="28">
        <f>(Fuentes!U1648/Fuentes!U$47)*100000</f>
        <v>25.682571806771925</v>
      </c>
      <c r="V238" s="28">
        <f>(Fuentes!V1648/Fuentes!V$47)*100000</f>
        <v>26.018194151481641</v>
      </c>
    </row>
    <row r="239" spans="1:22" s="14" customFormat="1" ht="12.75" x14ac:dyDescent="0.2">
      <c r="A239" s="28" t="s">
        <v>3198</v>
      </c>
      <c r="B239" s="29" t="s">
        <v>3225</v>
      </c>
      <c r="C239" s="29">
        <f>(Fuentes!C1649/Fuentes!C$47)*100000</f>
        <v>0</v>
      </c>
      <c r="D239" s="30">
        <f>(Fuentes!D1649/Fuentes!D$47)*100000</f>
        <v>0</v>
      </c>
      <c r="E239" s="35">
        <f>(Fuentes!E1649/Fuentes!E$47)*100000</f>
        <v>0</v>
      </c>
      <c r="F239" s="28">
        <f>(Fuentes!F1649/Fuentes!F$47)*100000</f>
        <v>0</v>
      </c>
      <c r="G239" s="28">
        <f>(Fuentes!G1649/Fuentes!G$47)*100000</f>
        <v>0</v>
      </c>
      <c r="H239" s="36">
        <f>(Fuentes!H1649/Fuentes!H$47)*100000</f>
        <v>0</v>
      </c>
      <c r="I239" s="28">
        <f>(Fuentes!I1649/Fuentes!I$47)*100000</f>
        <v>0</v>
      </c>
      <c r="J239" s="28">
        <f>(Fuentes!J1649/Fuentes!J$47)*100000</f>
        <v>0</v>
      </c>
      <c r="K239" s="28">
        <f>(Fuentes!K1649/Fuentes!K$47)*100000</f>
        <v>0</v>
      </c>
      <c r="L239" s="28">
        <f>(Fuentes!L1649/Fuentes!L$47)*100000</f>
        <v>0</v>
      </c>
      <c r="M239" s="28">
        <f>(Fuentes!M1649/Fuentes!M$47)*100000</f>
        <v>0</v>
      </c>
      <c r="N239" s="28">
        <f>(Fuentes!N1649/Fuentes!N$47)*100000</f>
        <v>0</v>
      </c>
      <c r="O239" s="28">
        <f>(Fuentes!O1649/Fuentes!O$47)*100000</f>
        <v>0</v>
      </c>
      <c r="P239" s="28">
        <f>(Fuentes!P1649/Fuentes!P$47)*100000</f>
        <v>0</v>
      </c>
      <c r="Q239" s="28">
        <f>(Fuentes!Q1649/Fuentes!Q$47)*100000</f>
        <v>0.81707579467430003</v>
      </c>
      <c r="R239" s="28">
        <f>(Fuentes!R1649/Fuentes!R$47)*100000</f>
        <v>0.55874858527962368</v>
      </c>
      <c r="S239" s="28">
        <f>(Fuentes!S1649/Fuentes!S$47)*100000</f>
        <v>0.7770370025020592</v>
      </c>
      <c r="T239" s="28">
        <f>(Fuentes!T1649/Fuentes!T$47)*100000</f>
        <v>1.2329506672183279</v>
      </c>
      <c r="U239" s="28">
        <f>(Fuentes!U1649/Fuentes!U$47)*100000</f>
        <v>1.0592811717968187</v>
      </c>
      <c r="V239" s="28">
        <f>(Fuentes!V1649/Fuentes!V$47)*100000</f>
        <v>1.3246345046726975</v>
      </c>
    </row>
    <row r="240" spans="1:22" s="14" customFormat="1" ht="12.75" x14ac:dyDescent="0.2">
      <c r="A240" s="28" t="s">
        <v>3198</v>
      </c>
      <c r="B240" s="29" t="s">
        <v>3226</v>
      </c>
      <c r="C240" s="29">
        <f>(Fuentes!C1650/Fuentes!C$47)*100000</f>
        <v>2.5824118642198829E-2</v>
      </c>
      <c r="D240" s="30">
        <f>(Fuentes!D1650/Fuentes!D$47)*100000</f>
        <v>5.0589455690339923E-2</v>
      </c>
      <c r="E240" s="35">
        <f>(Fuentes!E1650/Fuentes!E$47)*100000</f>
        <v>0.1740241162620316</v>
      </c>
      <c r="F240" s="28">
        <f>(Fuentes!F1650/Fuentes!F$47)*100000</f>
        <v>4.8942774884036214E-2</v>
      </c>
      <c r="G240" s="28">
        <f>(Fuentes!G1650/Fuentes!G$47)*100000</f>
        <v>9.6343220797225709E-2</v>
      </c>
      <c r="H240" s="28">
        <f>(Fuentes!H1650/Fuentes!H$47)*100000</f>
        <v>2.3723396583071741E-2</v>
      </c>
      <c r="I240" s="28">
        <f>(Fuentes!I1650/Fuentes!I$47)*100000</f>
        <v>7.0115475513806202E-2</v>
      </c>
      <c r="J240" s="28">
        <f>(Fuentes!J1650/Fuentes!J$47)*100000</f>
        <v>0.18431523434530075</v>
      </c>
      <c r="K240" s="28">
        <f>(Fuentes!K1650/Fuentes!K$47)*100000</f>
        <v>6.8118498940757347E-2</v>
      </c>
      <c r="L240" s="28">
        <f>(Fuentes!L1650/Fuentes!L$47)*100000</f>
        <v>0.1118734165716302</v>
      </c>
      <c r="M240" s="28">
        <f>(Fuentes!M1650/Fuentes!M$47)*100000</f>
        <v>6.6168287128018421E-2</v>
      </c>
      <c r="N240" s="36">
        <f>(Fuentes!N1650/Fuentes!N$47)*100000</f>
        <v>4.3552612753903562E-2</v>
      </c>
      <c r="O240" s="28">
        <f>(Fuentes!O1650/Fuentes!O$47)*100000</f>
        <v>4.2988093802599964E-2</v>
      </c>
      <c r="P240" s="28">
        <f>(Fuentes!P1650/Fuentes!P$47)*100000</f>
        <v>4.2434339225199888E-2</v>
      </c>
      <c r="Q240" s="28">
        <f>(Fuentes!Q1650/Fuentes!Q$47)*100000</f>
        <v>6.2851984205715389E-2</v>
      </c>
      <c r="R240" s="28">
        <f>(Fuentes!R1650/Fuentes!R$47)*100000</f>
        <v>0.10347196023696735</v>
      </c>
      <c r="S240" s="28">
        <f>(Fuentes!S1650/Fuentes!S$47)*100000</f>
        <v>0.1022417108555341</v>
      </c>
      <c r="T240" s="28">
        <f>(Fuentes!T1650/Fuentes!T$47)*100000</f>
        <v>0.14148614213980812</v>
      </c>
      <c r="U240" s="28">
        <f>(Fuentes!U1650/Fuentes!U$47)*100000</f>
        <v>1.9986437203713559E-2</v>
      </c>
      <c r="V240" s="28">
        <f>(Fuentes!V1650/Fuentes!V$47)*100000</f>
        <v>7.9082656995384928E-2</v>
      </c>
    </row>
    <row r="241" spans="1:22" s="14" customFormat="1" ht="12.75" x14ac:dyDescent="0.2">
      <c r="A241" s="28" t="s">
        <v>3198</v>
      </c>
      <c r="B241" s="29" t="s">
        <v>3227</v>
      </c>
      <c r="C241" s="29">
        <f>(Fuentes!C1651/Fuentes!C$47)*100000</f>
        <v>0</v>
      </c>
      <c r="D241" s="30">
        <f>(Fuentes!D1651/Fuentes!D$47)*100000</f>
        <v>0</v>
      </c>
      <c r="E241" s="35">
        <f>(Fuentes!E1651/Fuentes!E$47)*100000</f>
        <v>0</v>
      </c>
      <c r="F241" s="28">
        <f>(Fuentes!F1651/Fuentes!F$47)*100000</f>
        <v>0</v>
      </c>
      <c r="G241" s="28">
        <f>(Fuentes!G1651/Fuentes!G$47)*100000</f>
        <v>0</v>
      </c>
      <c r="H241" s="36">
        <f>(Fuentes!H1651/Fuentes!H$47)*100000</f>
        <v>0</v>
      </c>
      <c r="I241" s="28">
        <f>(Fuentes!I1651/Fuentes!I$47)*100000</f>
        <v>0</v>
      </c>
      <c r="J241" s="28">
        <f>(Fuentes!J1651/Fuentes!J$47)*100000</f>
        <v>0</v>
      </c>
      <c r="K241" s="28">
        <f>(Fuentes!K1651/Fuentes!K$47)*100000</f>
        <v>0</v>
      </c>
      <c r="L241" s="28">
        <f>(Fuentes!L1651/Fuentes!L$47)*100000</f>
        <v>0</v>
      </c>
      <c r="M241" s="28">
        <f>(Fuentes!M1651/Fuentes!M$47)*100000</f>
        <v>0</v>
      </c>
      <c r="N241" s="28">
        <f>(Fuentes!N1651/Fuentes!N$47)*100000</f>
        <v>0</v>
      </c>
      <c r="O241" s="28">
        <f>(Fuentes!O1651/Fuentes!O$47)*100000</f>
        <v>2.1494046901299982E-2</v>
      </c>
      <c r="P241" s="28">
        <f>(Fuentes!P1651/Fuentes!P$47)*100000</f>
        <v>0</v>
      </c>
      <c r="Q241" s="28">
        <f>(Fuentes!Q1651/Fuentes!Q$47)*100000</f>
        <v>2.095066140190513E-2</v>
      </c>
      <c r="R241" s="28">
        <f>(Fuentes!R1651/Fuentes!R$47)*100000</f>
        <v>2.069439204739347E-2</v>
      </c>
      <c r="S241" s="28">
        <f>(Fuentes!S1651/Fuentes!S$47)*100000</f>
        <v>2.0448342171106821E-2</v>
      </c>
      <c r="T241" s="28">
        <f>(Fuentes!T1651/Fuentes!T$47)*100000</f>
        <v>0.10106153009986293</v>
      </c>
      <c r="U241" s="28">
        <f>(Fuentes!U1651/Fuentes!U$47)*100000</f>
        <v>3.9972874407427118E-2</v>
      </c>
      <c r="V241" s="28">
        <f>(Fuentes!V1651/Fuentes!V$47)*100000</f>
        <v>0</v>
      </c>
    </row>
    <row r="242" spans="1:22" s="14" customFormat="1" ht="12.75" x14ac:dyDescent="0.2">
      <c r="A242" s="28" t="s">
        <v>3198</v>
      </c>
      <c r="B242" s="29" t="s">
        <v>3228</v>
      </c>
      <c r="C242" s="29">
        <f>(Fuentes!C1652/Fuentes!C$47)*100000</f>
        <v>18.102707168181382</v>
      </c>
      <c r="D242" s="30">
        <f>(Fuentes!D1652/Fuentes!D$47)*100000</f>
        <v>15.151541979256805</v>
      </c>
      <c r="E242" s="35">
        <f>(Fuentes!E1652/Fuentes!E$47)*100000</f>
        <v>14.891492234422419</v>
      </c>
      <c r="F242" s="28">
        <f>(Fuentes!F1652/Fuentes!F$47)*100000</f>
        <v>15.808516287543696</v>
      </c>
      <c r="G242" s="28">
        <f>(Fuentes!G1652/Fuentes!G$47)*100000</f>
        <v>13.993852820797033</v>
      </c>
      <c r="H242" s="28">
        <f>(Fuentes!H1652/Fuentes!H$47)*100000</f>
        <v>16.345420245736431</v>
      </c>
      <c r="I242" s="28">
        <f>(Fuentes!I1652/Fuentes!I$47)*100000</f>
        <v>14.420416130672809</v>
      </c>
      <c r="J242" s="28">
        <f>(Fuentes!J1652/Fuentes!J$47)*100000</f>
        <v>11.680977976633436</v>
      </c>
      <c r="K242" s="28">
        <f>(Fuentes!K1652/Fuentes!K$47)*100000</f>
        <v>12.056974312514049</v>
      </c>
      <c r="L242" s="28">
        <f>(Fuentes!L1652/Fuentes!L$47)*100000</f>
        <v>10.11335685807537</v>
      </c>
      <c r="M242" s="28">
        <f>(Fuentes!M1652/Fuentes!M$47)*100000</f>
        <v>9.3076723893412598</v>
      </c>
      <c r="N242" s="36">
        <f>(Fuentes!N1652/Fuentes!N$47)*100000</f>
        <v>9.5162458867279298</v>
      </c>
      <c r="O242" s="28">
        <f>(Fuentes!O1652/Fuentes!O$47)*100000</f>
        <v>8.9630175578420932</v>
      </c>
      <c r="P242" s="28">
        <f>(Fuentes!P1652/Fuentes!P$47)*100000</f>
        <v>8.5717365234903777</v>
      </c>
      <c r="Q242" s="28">
        <f>(Fuentes!Q1652/Fuentes!Q$47)*100000</f>
        <v>7.1441755380496481</v>
      </c>
      <c r="R242" s="28">
        <f>(Fuentes!R1652/Fuentes!R$47)*100000</f>
        <v>7.3878979609194682</v>
      </c>
      <c r="S242" s="28">
        <f>(Fuentes!S1652/Fuentes!S$47)*100000</f>
        <v>8.1588885262716211</v>
      </c>
      <c r="T242" s="28">
        <f>(Fuentes!T1652/Fuentes!T$47)*100000</f>
        <v>6.2456025601715304</v>
      </c>
      <c r="U242" s="28">
        <f>(Fuentes!U1652/Fuentes!U$47)*100000</f>
        <v>6.9552801468923189</v>
      </c>
      <c r="V242" s="28">
        <f>(Fuentes!V1652/Fuentes!V$47)*100000</f>
        <v>1.0873865336865429</v>
      </c>
    </row>
    <row r="243" spans="1:22" s="14" customFormat="1" ht="12.75" x14ac:dyDescent="0.2">
      <c r="A243" s="28" t="s">
        <v>3198</v>
      </c>
      <c r="B243" s="29" t="s">
        <v>3229</v>
      </c>
      <c r="C243" s="29">
        <f>(Fuentes!C1653/Fuentes!C$47)*100000</f>
        <v>1.497798881247532</v>
      </c>
      <c r="D243" s="30">
        <f>(Fuentes!D1653/Fuentes!D$47)*100000</f>
        <v>1.3153258479488379</v>
      </c>
      <c r="E243" s="35">
        <f>(Fuentes!E1653/Fuentes!E$47)*100000</f>
        <v>1.0192841095347565</v>
      </c>
      <c r="F243" s="28">
        <f>(Fuentes!F1653/Fuentes!F$47)*100000</f>
        <v>1.6151115711731949</v>
      </c>
      <c r="G243" s="28">
        <f>(Fuentes!G1653/Fuentes!G$47)*100000</f>
        <v>1.3488050911611598</v>
      </c>
      <c r="H243" s="36">
        <f>(Fuentes!H1653/Fuentes!H$47)*100000</f>
        <v>1.8267015368965243</v>
      </c>
      <c r="I243" s="28">
        <f>(Fuentes!I1653/Fuentes!I$47)*100000</f>
        <v>1.0283603075358243</v>
      </c>
      <c r="J243" s="28">
        <f>(Fuentes!J1653/Fuentes!J$47)*100000</f>
        <v>0.43774868157008939</v>
      </c>
      <c r="K243" s="28">
        <f>(Fuentes!K1653/Fuentes!K$47)*100000</f>
        <v>1.044483650424946</v>
      </c>
      <c r="L243" s="28">
        <f>(Fuentes!L1653/Fuentes!L$47)*100000</f>
        <v>0.78311391600141145</v>
      </c>
      <c r="M243" s="28">
        <f>(Fuentes!M1653/Fuentes!M$47)*100000</f>
        <v>1.1248608811763134</v>
      </c>
      <c r="N243" s="28">
        <f>(Fuentes!N1653/Fuentes!N$47)*100000</f>
        <v>1.001710093339782</v>
      </c>
      <c r="O243" s="28">
        <f>(Fuentes!O1653/Fuentes!O$47)*100000</f>
        <v>1.117690438867599</v>
      </c>
      <c r="P243" s="28">
        <f>(Fuentes!P1653/Fuentes!P$47)*100000</f>
        <v>1.4427675336567962</v>
      </c>
      <c r="Q243" s="28">
        <f>(Fuentes!Q1653/Fuentes!Q$47)*100000</f>
        <v>0.92182910168382559</v>
      </c>
      <c r="R243" s="28">
        <f>(Fuentes!R1653/Fuentes!R$47)*100000</f>
        <v>0.97263642622749302</v>
      </c>
      <c r="S243" s="28">
        <f>(Fuentes!S1653/Fuentes!S$47)*100000</f>
        <v>1.001968766384234</v>
      </c>
      <c r="T243" s="28">
        <f>(Fuentes!T1653/Fuentes!T$47)*100000</f>
        <v>1.1521014431384375</v>
      </c>
      <c r="U243" s="28">
        <f>(Fuentes!U1653/Fuentes!U$47)*100000</f>
        <v>0.93936254857453727</v>
      </c>
      <c r="V243" s="28">
        <f>(Fuentes!V1653/Fuentes!V$47)*100000</f>
        <v>0.39541328497692463</v>
      </c>
    </row>
    <row r="244" spans="1:22" s="14" customFormat="1" ht="12.75" x14ac:dyDescent="0.2">
      <c r="A244" s="28" t="s">
        <v>3198</v>
      </c>
      <c r="B244" s="29" t="s">
        <v>3230</v>
      </c>
      <c r="C244" s="29">
        <f>(Fuentes!C1654/Fuentes!C$47)*100000</f>
        <v>2.5565877455776844</v>
      </c>
      <c r="D244" s="30">
        <f>(Fuentes!D1654/Fuentes!D$47)*100000</f>
        <v>1.9729887719232568</v>
      </c>
      <c r="E244" s="35">
        <f>(Fuentes!E1654/Fuentes!E$47)*100000</f>
        <v>2.7595252721550723</v>
      </c>
      <c r="F244" s="28">
        <f>(Fuentes!F1654/Fuentes!F$47)*100000</f>
        <v>2.3981959693177743</v>
      </c>
      <c r="G244" s="28">
        <f>(Fuentes!G1654/Fuentes!G$47)*100000</f>
        <v>1.3247192859618535</v>
      </c>
      <c r="H244" s="28">
        <f>(Fuentes!H1654/Fuentes!H$47)*100000</f>
        <v>1.1624464325705155</v>
      </c>
      <c r="I244" s="28">
        <f>(Fuentes!I1654/Fuentes!I$47)*100000</f>
        <v>0.67778292996679335</v>
      </c>
      <c r="J244" s="28">
        <f>(Fuentes!J1654/Fuentes!J$47)*100000</f>
        <v>0.34559106439743892</v>
      </c>
      <c r="K244" s="28">
        <f>(Fuentes!K1654/Fuentes!K$47)*100000</f>
        <v>1.0671898167385316</v>
      </c>
      <c r="L244" s="28">
        <f>(Fuentes!L1654/Fuentes!L$47)*100000</f>
        <v>0.98448606583034581</v>
      </c>
      <c r="M244" s="28">
        <f>(Fuentes!M1654/Fuentes!M$47)*100000</f>
        <v>1.3895340296883871</v>
      </c>
      <c r="N244" s="36">
        <f>(Fuentes!N1654/Fuentes!N$47)*100000</f>
        <v>0.87105225507807138</v>
      </c>
      <c r="O244" s="28">
        <f>(Fuentes!O1654/Fuentes!O$47)*100000</f>
        <v>1.0102202043610991</v>
      </c>
      <c r="P244" s="28">
        <f>(Fuentes!P1654/Fuentes!P$47)*100000</f>
        <v>1.082075650242597</v>
      </c>
      <c r="Q244" s="28">
        <f>(Fuentes!Q1654/Fuentes!Q$47)*100000</f>
        <v>1.1103850543009717</v>
      </c>
      <c r="R244" s="28">
        <f>(Fuentes!R1654/Fuentes!R$47)*100000</f>
        <v>0.99333081827488645</v>
      </c>
      <c r="S244" s="28">
        <f>(Fuentes!S1654/Fuentes!S$47)*100000</f>
        <v>0.94062373987091374</v>
      </c>
      <c r="T244" s="28">
        <f>(Fuentes!T1654/Fuentes!T$47)*100000</f>
        <v>0.9701906889586841</v>
      </c>
      <c r="U244" s="28">
        <f>(Fuentes!U1654/Fuentes!U$47)*100000</f>
        <v>1.5189692274822306</v>
      </c>
      <c r="V244" s="28">
        <f>(Fuentes!V1654/Fuentes!V$47)*100000</f>
        <v>0.49426660622115581</v>
      </c>
    </row>
    <row r="245" spans="1:22" s="14" customFormat="1" ht="12.75" x14ac:dyDescent="0.2">
      <c r="A245" s="28" t="s">
        <v>3198</v>
      </c>
      <c r="B245" s="29" t="s">
        <v>3231</v>
      </c>
      <c r="C245" s="29">
        <f>(Fuentes!C1655/Fuentes!C$47)*100000</f>
        <v>0</v>
      </c>
      <c r="D245" s="30">
        <f>(Fuentes!D1655/Fuentes!D$47)*100000</f>
        <v>0</v>
      </c>
      <c r="E245" s="35">
        <f>(Fuentes!E1655/Fuentes!E$47)*100000</f>
        <v>0</v>
      </c>
      <c r="F245" s="28">
        <f>(Fuentes!F1655/Fuentes!F$47)*100000</f>
        <v>0</v>
      </c>
      <c r="G245" s="28">
        <f>(Fuentes!G1655/Fuentes!G$47)*100000</f>
        <v>0</v>
      </c>
      <c r="H245" s="36">
        <f>(Fuentes!H1655/Fuentes!H$47)*100000</f>
        <v>0</v>
      </c>
      <c r="I245" s="28">
        <f>(Fuentes!I1655/Fuentes!I$47)*100000</f>
        <v>0</v>
      </c>
      <c r="J245" s="28">
        <f>(Fuentes!J1655/Fuentes!J$47)*100000</f>
        <v>0</v>
      </c>
      <c r="K245" s="28">
        <f>(Fuentes!K1655/Fuentes!K$47)*100000</f>
        <v>0</v>
      </c>
      <c r="L245" s="28">
        <f>(Fuentes!L1655/Fuentes!L$47)*100000</f>
        <v>0</v>
      </c>
      <c r="M245" s="28">
        <f>(Fuentes!M1655/Fuentes!M$47)*100000</f>
        <v>2.2056095709339477E-2</v>
      </c>
      <c r="N245" s="28">
        <f>(Fuentes!N1655/Fuentes!N$47)*100000</f>
        <v>0</v>
      </c>
      <c r="O245" s="28">
        <f>(Fuentes!O1655/Fuentes!O$47)*100000</f>
        <v>0</v>
      </c>
      <c r="P245" s="28">
        <f>(Fuentes!P1655/Fuentes!P$47)*100000</f>
        <v>0</v>
      </c>
      <c r="Q245" s="28">
        <f>(Fuentes!Q1655/Fuentes!Q$47)*100000</f>
        <v>0.25140793682286156</v>
      </c>
      <c r="R245" s="28">
        <f>(Fuentes!R1655/Fuentes!R$47)*100000</f>
        <v>0</v>
      </c>
      <c r="S245" s="28">
        <f>(Fuentes!S1655/Fuentes!S$47)*100000</f>
        <v>0</v>
      </c>
      <c r="T245" s="28">
        <f>(Fuentes!T1655/Fuentes!T$47)*100000</f>
        <v>0</v>
      </c>
      <c r="U245" s="28">
        <f>(Fuentes!U1655/Fuentes!U$47)*100000</f>
        <v>0</v>
      </c>
      <c r="V245" s="28">
        <f>(Fuentes!V1655/Fuentes!V$47)*100000</f>
        <v>0</v>
      </c>
    </row>
    <row r="246" spans="1:22" s="14" customFormat="1" ht="12.75" x14ac:dyDescent="0.2">
      <c r="A246" s="28" t="s">
        <v>3198</v>
      </c>
      <c r="B246" s="29" t="s">
        <v>3232</v>
      </c>
      <c r="C246" s="29">
        <f>(Fuentes!C1656/Fuentes!C$47)*100000</f>
        <v>14.048320541356166</v>
      </c>
      <c r="D246" s="30">
        <f>(Fuentes!D1656/Fuentes!D$47)*100000</f>
        <v>11.863227359384711</v>
      </c>
      <c r="E246" s="35">
        <f>(Fuentes!E1656/Fuentes!E$47)*100000</f>
        <v>11.112682852732588</v>
      </c>
      <c r="F246" s="28">
        <f>(Fuentes!F1656/Fuentes!F$47)*100000</f>
        <v>11.795208747052726</v>
      </c>
      <c r="G246" s="28">
        <f>(Fuentes!G1656/Fuentes!G$47)*100000</f>
        <v>11.32032844367402</v>
      </c>
      <c r="H246" s="28">
        <f>(Fuentes!H1656/Fuentes!H$47)*100000</f>
        <v>13.356272276269392</v>
      </c>
      <c r="I246" s="28">
        <f>(Fuentes!I1656/Fuentes!I$47)*100000</f>
        <v>12.714272893170193</v>
      </c>
      <c r="J246" s="28">
        <f>(Fuentes!J1656/Fuentes!J$47)*100000</f>
        <v>10.897638230665908</v>
      </c>
      <c r="K246" s="28">
        <f>(Fuentes!K1656/Fuentes!K$47)*100000</f>
        <v>9.9453008453505714</v>
      </c>
      <c r="L246" s="28">
        <f>(Fuentes!L1656/Fuentes!L$47)*100000</f>
        <v>8.3457568762436125</v>
      </c>
      <c r="M246" s="28">
        <f>(Fuentes!M1656/Fuentes!M$47)*100000</f>
        <v>6.7491652870578802</v>
      </c>
      <c r="N246" s="36">
        <f>(Fuentes!N1656/Fuentes!N$47)*100000</f>
        <v>7.6434835383100754</v>
      </c>
      <c r="O246" s="28">
        <f>(Fuentes!O1656/Fuentes!O$47)*100000</f>
        <v>6.8351069146133936</v>
      </c>
      <c r="P246" s="28">
        <f>(Fuentes!P1656/Fuentes!P$47)*100000</f>
        <v>5.8771559826901845</v>
      </c>
      <c r="Q246" s="28">
        <f>(Fuentes!Q1656/Fuentes!Q$47)*100000</f>
        <v>4.7348494768305596</v>
      </c>
      <c r="R246" s="28">
        <f>(Fuentes!R1656/Fuentes!R$47)*100000</f>
        <v>5.4219307164170889</v>
      </c>
      <c r="S246" s="28">
        <f>(Fuentes!S1656/Fuentes!S$47)*100000</f>
        <v>6.0936059669898324</v>
      </c>
      <c r="T246" s="28">
        <f>(Fuentes!T1656/Fuentes!T$47)*100000</f>
        <v>3.8201258377748188</v>
      </c>
      <c r="U246" s="28">
        <f>(Fuentes!U1656/Fuentes!U$47)*100000</f>
        <v>4.3970161848169829</v>
      </c>
      <c r="V246" s="28">
        <f>(Fuentes!V1656/Fuentes!V$47)*100000</f>
        <v>0.11862398549307739</v>
      </c>
    </row>
    <row r="247" spans="1:22" s="14" customFormat="1" ht="12.75" x14ac:dyDescent="0.2">
      <c r="A247" s="28" t="s">
        <v>3198</v>
      </c>
      <c r="B247" s="29" t="s">
        <v>3233</v>
      </c>
      <c r="C247" s="29">
        <f>(Fuentes!C1657/Fuentes!C$47)*100000</f>
        <v>0</v>
      </c>
      <c r="D247" s="30">
        <f>(Fuentes!D1657/Fuentes!D$47)*100000</f>
        <v>0</v>
      </c>
      <c r="E247" s="35">
        <f>(Fuentes!E1657/Fuentes!E$47)*100000</f>
        <v>0</v>
      </c>
      <c r="F247" s="28">
        <f>(Fuentes!F1657/Fuentes!F$47)*100000</f>
        <v>0</v>
      </c>
      <c r="G247" s="28">
        <f>(Fuentes!G1657/Fuentes!G$47)*100000</f>
        <v>0</v>
      </c>
      <c r="H247" s="36">
        <f>(Fuentes!H1657/Fuentes!H$47)*100000</f>
        <v>0</v>
      </c>
      <c r="I247" s="28">
        <f>(Fuentes!I1657/Fuentes!I$47)*100000</f>
        <v>0</v>
      </c>
      <c r="J247" s="28">
        <f>(Fuentes!J1657/Fuentes!J$47)*100000</f>
        <v>0</v>
      </c>
      <c r="K247" s="28">
        <f>(Fuentes!K1657/Fuentes!K$47)*100000</f>
        <v>0</v>
      </c>
      <c r="L247" s="28">
        <f>(Fuentes!L1657/Fuentes!L$47)*100000</f>
        <v>0</v>
      </c>
      <c r="M247" s="28">
        <f>(Fuentes!M1657/Fuentes!M$47)*100000</f>
        <v>2.2056095709339477E-2</v>
      </c>
      <c r="N247" s="28">
        <f>(Fuentes!N1657/Fuentes!N$47)*100000</f>
        <v>0</v>
      </c>
      <c r="O247" s="28">
        <f>(Fuentes!O1657/Fuentes!O$47)*100000</f>
        <v>0</v>
      </c>
      <c r="P247" s="28">
        <f>(Fuentes!P1657/Fuentes!P$47)*100000</f>
        <v>0.10608584806299971</v>
      </c>
      <c r="Q247" s="28">
        <f>(Fuentes!Q1657/Fuentes!Q$47)*100000</f>
        <v>0.10475330700952563</v>
      </c>
      <c r="R247" s="28">
        <f>(Fuentes!R1657/Fuentes!R$47)*100000</f>
        <v>0</v>
      </c>
      <c r="S247" s="28">
        <f>(Fuentes!S1657/Fuentes!S$47)*100000</f>
        <v>8.1793368684427284E-2</v>
      </c>
      <c r="T247" s="28">
        <f>(Fuentes!T1657/Fuentes!T$47)*100000</f>
        <v>8.0849224079890356E-2</v>
      </c>
      <c r="U247" s="28">
        <f>(Fuentes!U1657/Fuentes!U$47)*100000</f>
        <v>7.9945748814854237E-2</v>
      </c>
      <c r="V247" s="28">
        <f>(Fuentes!V1657/Fuentes!V$47)*100000</f>
        <v>3.9541328497692464E-2</v>
      </c>
    </row>
    <row r="248" spans="1:22" s="14" customFormat="1" ht="12.75" x14ac:dyDescent="0.2">
      <c r="A248" s="28" t="s">
        <v>3198</v>
      </c>
      <c r="B248" s="29" t="s">
        <v>3234</v>
      </c>
      <c r="C248" s="29">
        <f>(Fuentes!C1658/Fuentes!C$47)*100000</f>
        <v>0</v>
      </c>
      <c r="D248" s="30">
        <f>(Fuentes!D1658/Fuentes!D$47)*100000</f>
        <v>0</v>
      </c>
      <c r="E248" s="35">
        <f>(Fuentes!E1658/Fuentes!E$47)*100000</f>
        <v>0</v>
      </c>
      <c r="F248" s="28">
        <f>(Fuentes!F1658/Fuentes!F$47)*100000</f>
        <v>0</v>
      </c>
      <c r="G248" s="28">
        <f>(Fuentes!G1658/Fuentes!G$47)*100000</f>
        <v>0</v>
      </c>
      <c r="H248" s="28">
        <f>(Fuentes!H1658/Fuentes!H$47)*100000</f>
        <v>0</v>
      </c>
      <c r="I248" s="28">
        <f>(Fuentes!I1658/Fuentes!I$47)*100000</f>
        <v>0</v>
      </c>
      <c r="J248" s="28">
        <f>(Fuentes!J1658/Fuentes!J$47)*100000</f>
        <v>0</v>
      </c>
      <c r="K248" s="28">
        <f>(Fuentes!K1658/Fuentes!K$47)*100000</f>
        <v>0</v>
      </c>
      <c r="L248" s="28">
        <f>(Fuentes!L1658/Fuentes!L$47)*100000</f>
        <v>0</v>
      </c>
      <c r="M248" s="28">
        <f>(Fuentes!M1658/Fuentes!M$47)*100000</f>
        <v>0</v>
      </c>
      <c r="N248" s="36">
        <f>(Fuentes!N1658/Fuentes!N$47)*100000</f>
        <v>0</v>
      </c>
      <c r="O248" s="28">
        <f>(Fuentes!O1658/Fuentes!O$47)*100000</f>
        <v>0</v>
      </c>
      <c r="P248" s="28">
        <f>(Fuentes!P1658/Fuentes!P$47)*100000</f>
        <v>4.2434339225199888E-2</v>
      </c>
      <c r="Q248" s="28">
        <f>(Fuentes!Q1658/Fuentes!Q$47)*100000</f>
        <v>2.095066140190513E-2</v>
      </c>
      <c r="R248" s="28">
        <f>(Fuentes!R1658/Fuentes!R$47)*100000</f>
        <v>0</v>
      </c>
      <c r="S248" s="28">
        <f>(Fuentes!S1658/Fuentes!S$47)*100000</f>
        <v>4.0896684342213642E-2</v>
      </c>
      <c r="T248" s="28">
        <f>(Fuentes!T1658/Fuentes!T$47)*100000</f>
        <v>0.10106153009986293</v>
      </c>
      <c r="U248" s="28">
        <f>(Fuentes!U1658/Fuentes!U$47)*100000</f>
        <v>1.9986437203713559E-2</v>
      </c>
      <c r="V248" s="28">
        <f>(Fuentes!V1658/Fuentes!V$47)*100000</f>
        <v>1.9770664248846232E-2</v>
      </c>
    </row>
    <row r="249" spans="1:22" s="14" customFormat="1" ht="12.75" x14ac:dyDescent="0.2">
      <c r="A249" s="28" t="s">
        <v>3198</v>
      </c>
      <c r="B249" s="29" t="s">
        <v>3235</v>
      </c>
      <c r="C249" s="29">
        <f>(Fuentes!C1659/Fuentes!C$47)*100000</f>
        <v>0</v>
      </c>
      <c r="D249" s="30">
        <f>(Fuentes!D1659/Fuentes!D$47)*100000</f>
        <v>0</v>
      </c>
      <c r="E249" s="35">
        <f>(Fuentes!E1659/Fuentes!E$47)*100000</f>
        <v>0</v>
      </c>
      <c r="F249" s="28">
        <f>(Fuentes!F1659/Fuentes!F$47)*100000</f>
        <v>0</v>
      </c>
      <c r="G249" s="28">
        <f>(Fuentes!G1659/Fuentes!G$47)*100000</f>
        <v>0</v>
      </c>
      <c r="H249" s="36">
        <f>(Fuentes!H1659/Fuentes!H$47)*100000</f>
        <v>0</v>
      </c>
      <c r="I249" s="28">
        <f>(Fuentes!I1659/Fuentes!I$47)*100000</f>
        <v>0</v>
      </c>
      <c r="J249" s="28">
        <f>(Fuentes!J1659/Fuentes!J$47)*100000</f>
        <v>0</v>
      </c>
      <c r="K249" s="28">
        <f>(Fuentes!K1659/Fuentes!K$47)*100000</f>
        <v>0</v>
      </c>
      <c r="L249" s="28">
        <f>(Fuentes!L1659/Fuentes!L$47)*100000</f>
        <v>0</v>
      </c>
      <c r="M249" s="28">
        <f>(Fuentes!M1659/Fuentes!M$47)*100000</f>
        <v>0</v>
      </c>
      <c r="N249" s="28">
        <f>(Fuentes!N1659/Fuentes!N$47)*100000</f>
        <v>0</v>
      </c>
      <c r="O249" s="28">
        <f>(Fuentes!O1659/Fuentes!O$47)*100000</f>
        <v>0</v>
      </c>
      <c r="P249" s="28">
        <f>(Fuentes!P1659/Fuentes!P$47)*100000</f>
        <v>2.1217169612599944E-2</v>
      </c>
      <c r="Q249" s="28">
        <f>(Fuentes!Q1659/Fuentes!Q$47)*100000</f>
        <v>0</v>
      </c>
      <c r="R249" s="28">
        <f>(Fuentes!R1659/Fuentes!R$47)*100000</f>
        <v>0</v>
      </c>
      <c r="S249" s="28">
        <f>(Fuentes!S1659/Fuentes!S$47)*100000</f>
        <v>0</v>
      </c>
      <c r="T249" s="28">
        <f>(Fuentes!T1659/Fuentes!T$47)*100000</f>
        <v>0.12127383611983551</v>
      </c>
      <c r="U249" s="28">
        <f>(Fuentes!U1659/Fuentes!U$47)*100000</f>
        <v>0</v>
      </c>
      <c r="V249" s="28">
        <f>(Fuentes!V1659/Fuentes!V$47)*100000</f>
        <v>1.9770664248846232E-2</v>
      </c>
    </row>
    <row r="250" spans="1:22" s="14" customFormat="1" ht="12.75" x14ac:dyDescent="0.2">
      <c r="A250" s="28" t="s">
        <v>3198</v>
      </c>
      <c r="B250" s="29" t="s">
        <v>3236</v>
      </c>
      <c r="C250" s="29">
        <f>(Fuentes!C1660/Fuentes!C$47)*100000</f>
        <v>0</v>
      </c>
      <c r="D250" s="30">
        <f>(Fuentes!D1660/Fuentes!D$47)*100000</f>
        <v>0</v>
      </c>
      <c r="E250" s="35">
        <f>(Fuentes!E1660/Fuentes!E$47)*100000</f>
        <v>0</v>
      </c>
      <c r="F250" s="28">
        <f>(Fuentes!F1660/Fuentes!F$47)*100000</f>
        <v>0</v>
      </c>
      <c r="G250" s="28">
        <f>(Fuentes!G1660/Fuentes!G$47)*100000</f>
        <v>0</v>
      </c>
      <c r="H250" s="28">
        <f>(Fuentes!H1660/Fuentes!H$47)*100000</f>
        <v>0</v>
      </c>
      <c r="I250" s="28">
        <f>(Fuentes!I1660/Fuentes!I$47)*100000</f>
        <v>0</v>
      </c>
      <c r="J250" s="28">
        <f>(Fuentes!J1660/Fuentes!J$47)*100000</f>
        <v>0</v>
      </c>
      <c r="K250" s="28">
        <f>(Fuentes!K1660/Fuentes!K$47)*100000</f>
        <v>0</v>
      </c>
      <c r="L250" s="28">
        <f>(Fuentes!L1660/Fuentes!L$47)*100000</f>
        <v>0</v>
      </c>
      <c r="M250" s="28">
        <f>(Fuentes!M1660/Fuentes!M$47)*100000</f>
        <v>0</v>
      </c>
      <c r="N250" s="36">
        <f>(Fuentes!N1660/Fuentes!N$47)*100000</f>
        <v>0</v>
      </c>
      <c r="O250" s="28">
        <f>(Fuentes!O1660/Fuentes!O$47)*100000</f>
        <v>0</v>
      </c>
      <c r="P250" s="28">
        <f>(Fuentes!P1660/Fuentes!P$47)*100000</f>
        <v>0</v>
      </c>
      <c r="Q250" s="28">
        <f>(Fuentes!Q1660/Fuentes!Q$47)*100000</f>
        <v>0</v>
      </c>
      <c r="R250" s="28">
        <f>(Fuentes!R1660/Fuentes!R$47)*100000</f>
        <v>0</v>
      </c>
      <c r="S250" s="28">
        <f>(Fuentes!S1660/Fuentes!S$47)*100000</f>
        <v>0</v>
      </c>
      <c r="T250" s="28">
        <f>(Fuentes!T1660/Fuentes!T$47)*100000</f>
        <v>0</v>
      </c>
      <c r="U250" s="28">
        <f>(Fuentes!U1660/Fuentes!U$47)*100000</f>
        <v>0</v>
      </c>
      <c r="V250" s="28">
        <f>(Fuentes!V1660/Fuentes!V$47)*100000</f>
        <v>0</v>
      </c>
    </row>
    <row r="251" spans="1:22" s="14" customFormat="1" ht="12.75" x14ac:dyDescent="0.2">
      <c r="A251" s="28" t="s">
        <v>3198</v>
      </c>
      <c r="B251" s="29" t="s">
        <v>3237</v>
      </c>
      <c r="C251" s="29">
        <f>(Fuentes!C1661/Fuentes!C$47)*100000</f>
        <v>95.42011838292467</v>
      </c>
      <c r="D251" s="30">
        <f>(Fuentes!D1661/Fuentes!D$47)*100000</f>
        <v>112.3338863603998</v>
      </c>
      <c r="E251" s="35">
        <f>(Fuentes!E1661/Fuentes!E$47)*100000</f>
        <v>115.45257084583925</v>
      </c>
      <c r="F251" s="28">
        <f>(Fuentes!F1661/Fuentes!F$47)*100000</f>
        <v>129.6004678929279</v>
      </c>
      <c r="G251" s="28">
        <f>(Fuentes!G1661/Fuentes!G$47)*100000</f>
        <v>137.48177607764109</v>
      </c>
      <c r="H251" s="36">
        <f>(Fuentes!H1661/Fuentes!H$47)*100000</f>
        <v>122.83974750714549</v>
      </c>
      <c r="I251" s="28">
        <f>(Fuentes!I1661/Fuentes!I$47)*100000</f>
        <v>116.43843300326083</v>
      </c>
      <c r="J251" s="28">
        <f>(Fuentes!J1661/Fuentes!J$47)*100000</f>
        <v>122.86914309543613</v>
      </c>
      <c r="K251" s="28">
        <f>(Fuentes!K1661/Fuentes!K$47)*100000</f>
        <v>128.13089650756456</v>
      </c>
      <c r="L251" s="28">
        <f>(Fuentes!L1661/Fuentes!L$47)*100000</f>
        <v>145.4801909097479</v>
      </c>
      <c r="M251" s="28">
        <f>(Fuentes!M1661/Fuentes!M$47)*100000</f>
        <v>143.60723916350932</v>
      </c>
      <c r="N251" s="28">
        <f>(Fuentes!N1661/Fuentes!N$47)*100000</f>
        <v>141.61132036931744</v>
      </c>
      <c r="O251" s="28">
        <f>(Fuentes!O1661/Fuentes!O$47)*100000</f>
        <v>154.92909006457026</v>
      </c>
      <c r="P251" s="28">
        <f>(Fuentes!P1661/Fuentes!P$47)*100000</f>
        <v>154.43977761011499</v>
      </c>
      <c r="Q251" s="28">
        <f>(Fuentes!Q1661/Fuentes!Q$47)*100000</f>
        <v>153.00268021811314</v>
      </c>
      <c r="R251" s="28">
        <f>(Fuentes!R1661/Fuentes!R$47)*100000</f>
        <v>149.93087038336569</v>
      </c>
      <c r="S251" s="28">
        <f>(Fuentes!S1661/Fuentes!S$47)*100000</f>
        <v>153.34211794113003</v>
      </c>
      <c r="T251" s="28">
        <f>(Fuentes!T1661/Fuentes!T$47)*100000</f>
        <v>186.21597536200744</v>
      </c>
      <c r="U251" s="28">
        <f>(Fuentes!U1661/Fuentes!U$47)*100000</f>
        <v>220.05067361288627</v>
      </c>
      <c r="V251" s="28">
        <f>(Fuentes!V1661/Fuentes!V$47)*100000</f>
        <v>258.77822435314835</v>
      </c>
    </row>
    <row r="252" spans="1:22" s="14" customFormat="1" ht="12.75" x14ac:dyDescent="0.2">
      <c r="A252" s="28" t="s">
        <v>3198</v>
      </c>
      <c r="B252" s="29" t="s">
        <v>3238</v>
      </c>
      <c r="C252" s="29">
        <f>(Fuentes!C1662/Fuentes!C$47)*100000</f>
        <v>37.031786132913126</v>
      </c>
      <c r="D252" s="30">
        <f>(Fuentes!D1662/Fuentes!D$47)*100000</f>
        <v>33.186682932862986</v>
      </c>
      <c r="E252" s="35">
        <f>(Fuentes!E1662/Fuentes!E$47)*100000</f>
        <v>18.123368679288717</v>
      </c>
      <c r="F252" s="28">
        <f>(Fuentes!F1662/Fuentes!F$47)*100000</f>
        <v>17.20338537173873</v>
      </c>
      <c r="G252" s="28">
        <f>(Fuentes!G1662/Fuentes!G$47)*100000</f>
        <v>15.029542444367211</v>
      </c>
      <c r="H252" s="28">
        <f>(Fuentes!H1662/Fuentes!H$47)*100000</f>
        <v>0</v>
      </c>
      <c r="I252" s="28">
        <f>(Fuentes!I1662/Fuentes!I$47)*100000</f>
        <v>0</v>
      </c>
      <c r="J252" s="28">
        <f>(Fuentes!J1662/Fuentes!J$47)*100000</f>
        <v>0</v>
      </c>
      <c r="K252" s="28">
        <f>(Fuentes!K1662/Fuentes!K$47)*100000</f>
        <v>0</v>
      </c>
      <c r="L252" s="28">
        <f>(Fuentes!L1662/Fuentes!L$47)*100000</f>
        <v>0</v>
      </c>
      <c r="M252" s="28">
        <f>(Fuentes!M1662/Fuentes!M$47)*100000</f>
        <v>0</v>
      </c>
      <c r="N252" s="36">
        <f>(Fuentes!N1662/Fuentes!N$47)*100000</f>
        <v>0</v>
      </c>
      <c r="O252" s="28">
        <f>(Fuentes!O1662/Fuentes!O$47)*100000</f>
        <v>0</v>
      </c>
      <c r="P252" s="28">
        <f>(Fuentes!P1662/Fuentes!P$47)*100000</f>
        <v>0</v>
      </c>
      <c r="Q252" s="28">
        <f>(Fuentes!Q1662/Fuentes!Q$47)*100000</f>
        <v>0</v>
      </c>
      <c r="R252" s="28">
        <f>(Fuentes!R1662/Fuentes!R$47)*100000</f>
        <v>0</v>
      </c>
      <c r="S252" s="28">
        <f>(Fuentes!S1662/Fuentes!S$47)*100000</f>
        <v>0</v>
      </c>
      <c r="T252" s="28">
        <f>(Fuentes!T1662/Fuentes!T$47)*100000</f>
        <v>0</v>
      </c>
      <c r="U252" s="28">
        <f>(Fuentes!U1662/Fuentes!U$47)*100000</f>
        <v>0</v>
      </c>
      <c r="V252" s="28">
        <f>(Fuentes!V1662/Fuentes!V$47)*100000</f>
        <v>0</v>
      </c>
    </row>
    <row r="253" spans="1:22" s="14" customFormat="1" ht="12.75" x14ac:dyDescent="0.2">
      <c r="A253" s="28" t="s">
        <v>3198</v>
      </c>
      <c r="B253" s="29" t="s">
        <v>3239</v>
      </c>
      <c r="C253" s="29">
        <f>(Fuentes!C1663/Fuentes!C$47)*100000</f>
        <v>2.5307636269354856</v>
      </c>
      <c r="D253" s="30">
        <f>(Fuentes!D1663/Fuentes!D$47)*100000</f>
        <v>0.25294727845169962</v>
      </c>
      <c r="E253" s="35">
        <f>(Fuentes!E1663/Fuentes!E$47)*100000</f>
        <v>1.0441446975721895</v>
      </c>
      <c r="F253" s="28">
        <f>(Fuentes!F1663/Fuentes!F$47)*100000</f>
        <v>0.12235693721009053</v>
      </c>
      <c r="G253" s="28">
        <f>(Fuentes!G1663/Fuentes!G$47)*100000</f>
        <v>0.16860063639514497</v>
      </c>
      <c r="H253" s="36">
        <f>(Fuentes!H1663/Fuentes!H$47)*100000</f>
        <v>0</v>
      </c>
      <c r="I253" s="28">
        <f>(Fuentes!I1663/Fuentes!I$47)*100000</f>
        <v>0</v>
      </c>
      <c r="J253" s="28">
        <f>(Fuentes!J1663/Fuentes!J$47)*100000</f>
        <v>0</v>
      </c>
      <c r="K253" s="28">
        <f>(Fuentes!K1663/Fuentes!K$47)*100000</f>
        <v>0</v>
      </c>
      <c r="L253" s="28">
        <f>(Fuentes!L1663/Fuentes!L$47)*100000</f>
        <v>0</v>
      </c>
      <c r="M253" s="28">
        <f>(Fuentes!M1663/Fuentes!M$47)*100000</f>
        <v>0</v>
      </c>
      <c r="N253" s="28">
        <f>(Fuentes!N1663/Fuentes!N$47)*100000</f>
        <v>0</v>
      </c>
      <c r="O253" s="28">
        <f>(Fuentes!O1663/Fuentes!O$47)*100000</f>
        <v>0</v>
      </c>
      <c r="P253" s="28">
        <f>(Fuentes!P1663/Fuentes!P$47)*100000</f>
        <v>0</v>
      </c>
      <c r="Q253" s="28">
        <f>(Fuentes!Q1663/Fuentes!Q$47)*100000</f>
        <v>0</v>
      </c>
      <c r="R253" s="28">
        <f>(Fuentes!R1663/Fuentes!R$47)*100000</f>
        <v>0</v>
      </c>
      <c r="S253" s="28">
        <f>(Fuentes!S1663/Fuentes!S$47)*100000</f>
        <v>0</v>
      </c>
      <c r="T253" s="28">
        <f>(Fuentes!T1663/Fuentes!T$47)*100000</f>
        <v>0</v>
      </c>
      <c r="U253" s="28">
        <f>(Fuentes!U1663/Fuentes!U$47)*100000</f>
        <v>0</v>
      </c>
      <c r="V253" s="28">
        <f>(Fuentes!V1663/Fuentes!V$47)*100000</f>
        <v>0</v>
      </c>
    </row>
    <row r="254" spans="1:22" s="14" customFormat="1" ht="12.75" x14ac:dyDescent="0.2">
      <c r="A254" s="28" t="s">
        <v>3198</v>
      </c>
      <c r="B254" s="29" t="s">
        <v>3240</v>
      </c>
      <c r="C254" s="29">
        <f>(Fuentes!C1664/Fuentes!C$47)*100000</f>
        <v>1.3945024066787368</v>
      </c>
      <c r="D254" s="30">
        <f>(Fuentes!D1664/Fuentes!D$47)*100000</f>
        <v>1.188852208722988</v>
      </c>
      <c r="E254" s="35">
        <f>(Fuentes!E1664/Fuentes!E$47)*100000</f>
        <v>2.5606405678556077</v>
      </c>
      <c r="F254" s="28">
        <f>(Fuentes!F1664/Fuentes!F$47)*100000</f>
        <v>3.6217653414186799</v>
      </c>
      <c r="G254" s="28">
        <f>(Fuentes!G1664/Fuentes!G$47)*100000</f>
        <v>4.3595307410744635</v>
      </c>
      <c r="H254" s="28">
        <f>(Fuentes!H1664/Fuentes!H$47)*100000</f>
        <v>6.0020193355171516</v>
      </c>
      <c r="I254" s="28">
        <f>(Fuentes!I1664/Fuentes!I$47)*100000</f>
        <v>7.3621249289496511</v>
      </c>
      <c r="J254" s="28">
        <f>(Fuentes!J1664/Fuentes!J$47)*100000</f>
        <v>6.8427030750692914</v>
      </c>
      <c r="K254" s="28">
        <f>(Fuentes!K1664/Fuentes!K$47)*100000</f>
        <v>5.8808970752187166</v>
      </c>
      <c r="L254" s="28">
        <f>(Fuentes!L1664/Fuentes!L$47)*100000</f>
        <v>8.0772606764717008</v>
      </c>
      <c r="M254" s="28">
        <f>(Fuentes!M1664/Fuentes!M$47)*100000</f>
        <v>8.0063627424902304</v>
      </c>
      <c r="N254" s="36">
        <f>(Fuentes!N1664/Fuentes!N$47)*100000</f>
        <v>8.6234173252729054</v>
      </c>
      <c r="O254" s="28">
        <f>(Fuentes!O1664/Fuentes!O$47)*100000</f>
        <v>10.03771990290709</v>
      </c>
      <c r="P254" s="28">
        <f>(Fuentes!P1664/Fuentes!P$47)*100000</f>
        <v>9.6113778345077741</v>
      </c>
      <c r="Q254" s="28">
        <f>(Fuentes!Q1664/Fuentes!Q$47)*100000</f>
        <v>7.5212874432839412</v>
      </c>
      <c r="R254" s="28">
        <f>(Fuentes!R1664/Fuentes!R$47)*100000</f>
        <v>11.464693194255981</v>
      </c>
      <c r="S254" s="28">
        <f>(Fuentes!S1664/Fuentes!S$47)*100000</f>
        <v>9.8765492686445935</v>
      </c>
      <c r="T254" s="28">
        <f>(Fuentes!T1664/Fuentes!T$47)*100000</f>
        <v>12.834814322682593</v>
      </c>
      <c r="U254" s="28">
        <f>(Fuentes!U1664/Fuentes!U$47)*100000</f>
        <v>5.7560939146695054</v>
      </c>
      <c r="V254" s="28">
        <f>(Fuentes!V1664/Fuentes!V$47)*100000</f>
        <v>15.935155384570065</v>
      </c>
    </row>
    <row r="255" spans="1:22" s="14" customFormat="1" ht="12.75" x14ac:dyDescent="0.2">
      <c r="A255" s="28" t="s">
        <v>3198</v>
      </c>
      <c r="B255" s="29" t="s">
        <v>3241</v>
      </c>
      <c r="C255" s="29">
        <f>(Fuentes!C1665/Fuentes!C$47)*100000</f>
        <v>0</v>
      </c>
      <c r="D255" s="30">
        <f>(Fuentes!D1665/Fuentes!D$47)*100000</f>
        <v>0.9359049302712884</v>
      </c>
      <c r="E255" s="35">
        <f>(Fuentes!E1665/Fuentes!E$47)*100000</f>
        <v>1.8148229267326152</v>
      </c>
      <c r="F255" s="28">
        <f>(Fuentes!F1665/Fuentes!F$47)*100000</f>
        <v>2.0311251576875029</v>
      </c>
      <c r="G255" s="28">
        <f>(Fuentes!G1665/Fuentes!G$47)*100000</f>
        <v>1.3969767015597727</v>
      </c>
      <c r="H255" s="36">
        <f>(Fuentes!H1665/Fuentes!H$47)*100000</f>
        <v>3.3924457113792594</v>
      </c>
      <c r="I255" s="28">
        <f>(Fuentes!I1665/Fuentes!I$47)*100000</f>
        <v>2.6176444191820987</v>
      </c>
      <c r="J255" s="28">
        <f>(Fuentes!J1665/Fuentes!J$47)*100000</f>
        <v>2.3960980464889099</v>
      </c>
      <c r="K255" s="28">
        <f>(Fuentes!K1665/Fuentes!K$47)*100000</f>
        <v>2.2252042987314065</v>
      </c>
      <c r="L255" s="28">
        <f>(Fuentes!L1665/Fuentes!L$47)*100000</f>
        <v>2.841584780919407</v>
      </c>
      <c r="M255" s="28">
        <f>(Fuentes!M1665/Fuentes!M$47)*100000</f>
        <v>2.8672924422141319</v>
      </c>
      <c r="N255" s="28">
        <f>(Fuentes!N1665/Fuentes!N$47)*100000</f>
        <v>2.1123017185643231</v>
      </c>
      <c r="O255" s="28">
        <f>(Fuentes!O1665/Fuentes!O$47)*100000</f>
        <v>1.5475713768935988</v>
      </c>
      <c r="P255" s="28">
        <f>(Fuentes!P1665/Fuentes!P$47)*100000</f>
        <v>0.78503527566619791</v>
      </c>
      <c r="Q255" s="28">
        <f>(Fuentes!Q1665/Fuentes!Q$47)*100000</f>
        <v>1.3408423297219283</v>
      </c>
      <c r="R255" s="28">
        <f>(Fuentes!R1665/Fuentes!R$47)*100000</f>
        <v>1.2002747387488211</v>
      </c>
      <c r="S255" s="28">
        <f>(Fuentes!S1665/Fuentes!S$47)*100000</f>
        <v>0.89972705552870014</v>
      </c>
      <c r="T255" s="28">
        <f>(Fuentes!T1665/Fuentes!T$47)*100000</f>
        <v>0.40424612039945174</v>
      </c>
      <c r="U255" s="28">
        <f>(Fuentes!U1665/Fuentes!U$47)*100000</f>
        <v>0</v>
      </c>
      <c r="V255" s="28">
        <f>(Fuentes!V1665/Fuentes!V$47)*100000</f>
        <v>0.3558719564792322</v>
      </c>
    </row>
    <row r="256" spans="1:22" s="14" customFormat="1" ht="12.75" x14ac:dyDescent="0.2">
      <c r="A256" s="28" t="s">
        <v>3198</v>
      </c>
      <c r="B256" s="29" t="s">
        <v>3242</v>
      </c>
      <c r="C256" s="29">
        <f>(Fuentes!C1666/Fuentes!C$47)*100000</f>
        <v>1.0071406270457544</v>
      </c>
      <c r="D256" s="30">
        <f>(Fuentes!D1666/Fuentes!D$47)*100000</f>
        <v>7.9425445433833675</v>
      </c>
      <c r="E256" s="35">
        <f>(Fuentes!E1666/Fuentes!E$47)*100000</f>
        <v>14.866631646384985</v>
      </c>
      <c r="F256" s="28">
        <f>(Fuentes!F1666/Fuentes!F$47)*100000</f>
        <v>8.5649856047063366</v>
      </c>
      <c r="G256" s="28">
        <f>(Fuentes!G1666/Fuentes!G$47)*100000</f>
        <v>8.9358337289426846</v>
      </c>
      <c r="H256" s="28">
        <f>(Fuentes!H1666/Fuentes!H$47)*100000</f>
        <v>7.4728699236675986</v>
      </c>
      <c r="I256" s="28">
        <f>(Fuentes!I1666/Fuentes!I$47)*100000</f>
        <v>12.293580040087354</v>
      </c>
      <c r="J256" s="28">
        <f>(Fuentes!J1666/Fuentes!J$47)*100000</f>
        <v>10.552047166268469</v>
      </c>
      <c r="K256" s="28">
        <f>(Fuentes!K1666/Fuentes!K$47)*100000</f>
        <v>13.623699788151468</v>
      </c>
      <c r="L256" s="28">
        <f>(Fuentes!L1666/Fuentes!L$47)*100000</f>
        <v>10.023858124818066</v>
      </c>
      <c r="M256" s="28">
        <f>(Fuentes!M1666/Fuentes!M$47)*100000</f>
        <v>8.0063627424902304</v>
      </c>
      <c r="N256" s="36">
        <f>(Fuentes!N1666/Fuentes!N$47)*100000</f>
        <v>6.5328919130855354</v>
      </c>
      <c r="O256" s="28">
        <f>(Fuentes!O1666/Fuentes!O$47)*100000</f>
        <v>7.1360235712315943</v>
      </c>
      <c r="P256" s="28">
        <f>(Fuentes!P1666/Fuentes!P$47)*100000</f>
        <v>5.898373152302784</v>
      </c>
      <c r="Q256" s="28">
        <f>(Fuentes!Q1666/Fuentes!Q$47)*100000</f>
        <v>6.6832609872077358</v>
      </c>
      <c r="R256" s="28">
        <f>(Fuentes!R1666/Fuentes!R$47)*100000</f>
        <v>7.180954040445533</v>
      </c>
      <c r="S256" s="28">
        <f>(Fuentes!S1666/Fuentes!S$47)*100000</f>
        <v>5.0302921740922777</v>
      </c>
      <c r="T256" s="28">
        <f>(Fuentes!T1666/Fuentes!T$47)*100000</f>
        <v>1.7988952357775603</v>
      </c>
      <c r="U256" s="28">
        <f>(Fuentes!U1666/Fuentes!U$47)*100000</f>
        <v>0.19986437203713561</v>
      </c>
      <c r="V256" s="28">
        <f>(Fuentes!V1666/Fuentes!V$47)*100000</f>
        <v>0.98853321244231163</v>
      </c>
    </row>
    <row r="257" spans="1:22" s="14" customFormat="1" ht="12.75" x14ac:dyDescent="0.2">
      <c r="A257" s="28" t="s">
        <v>3198</v>
      </c>
      <c r="B257" s="29" t="s">
        <v>3243</v>
      </c>
      <c r="C257" s="29">
        <f>(Fuentes!C1667/Fuentes!C$47)*100000</f>
        <v>2.3241706777978948</v>
      </c>
      <c r="D257" s="30">
        <f>(Fuentes!D1667/Fuentes!D$47)*100000</f>
        <v>11.079090796184442</v>
      </c>
      <c r="E257" s="35">
        <f>(Fuentes!E1667/Fuentes!E$47)*100000</f>
        <v>20.012773370133633</v>
      </c>
      <c r="F257" s="28">
        <f>(Fuentes!F1667/Fuentes!F$47)*100000</f>
        <v>35.067498204411947</v>
      </c>
      <c r="G257" s="28">
        <f>(Fuentes!G1667/Fuentes!G$47)*100000</f>
        <v>41.138555280415375</v>
      </c>
      <c r="H257" s="36">
        <f>(Fuentes!H1667/Fuentes!H$47)*100000</f>
        <v>46.972325234482049</v>
      </c>
      <c r="I257" s="28">
        <f>(Fuentes!I1667/Fuentes!I$47)*100000</f>
        <v>42.186144434140068</v>
      </c>
      <c r="J257" s="28">
        <f>(Fuentes!J1667/Fuentes!J$47)*100000</f>
        <v>43.982222795647395</v>
      </c>
      <c r="K257" s="28">
        <f>(Fuentes!K1667/Fuentes!K$47)*100000</f>
        <v>47.047176601749733</v>
      </c>
      <c r="L257" s="28">
        <f>(Fuentes!L1667/Fuentes!L$47)*100000</f>
        <v>53.251746288095973</v>
      </c>
      <c r="M257" s="28">
        <f>(Fuentes!M1667/Fuentes!M$47)*100000</f>
        <v>60.41164614788083</v>
      </c>
      <c r="N257" s="28">
        <f>(Fuentes!N1667/Fuentes!N$47)*100000</f>
        <v>57.511225141529657</v>
      </c>
      <c r="O257" s="28">
        <f>(Fuentes!O1667/Fuentes!O$47)*100000</f>
        <v>67.104414425858536</v>
      </c>
      <c r="P257" s="28">
        <f>(Fuentes!P1667/Fuentes!P$47)*100000</f>
        <v>64.457761283078625</v>
      </c>
      <c r="Q257" s="28">
        <f>(Fuentes!Q1667/Fuentes!Q$47)*100000</f>
        <v>60.421707483094387</v>
      </c>
      <c r="R257" s="28">
        <f>(Fuentes!R1667/Fuentes!R$47)*100000</f>
        <v>56.412912721194594</v>
      </c>
      <c r="S257" s="28">
        <f>(Fuentes!S1667/Fuentes!S$47)*100000</f>
        <v>61.263233144636025</v>
      </c>
      <c r="T257" s="28">
        <f>(Fuentes!T1667/Fuentes!T$47)*100000</f>
        <v>73.754704666879974</v>
      </c>
      <c r="U257" s="28">
        <f>(Fuentes!U1667/Fuentes!U$47)*100000</f>
        <v>73.689993970091891</v>
      </c>
      <c r="V257" s="28">
        <f>(Fuentes!V1667/Fuentes!V$47)*100000</f>
        <v>94.068820496010375</v>
      </c>
    </row>
    <row r="258" spans="1:22" s="14" customFormat="1" ht="12.75" x14ac:dyDescent="0.2">
      <c r="A258" s="28" t="s">
        <v>3198</v>
      </c>
      <c r="B258" s="29" t="s">
        <v>3244</v>
      </c>
      <c r="C258" s="29">
        <f>(Fuentes!C1668/Fuentes!C$47)*100000</f>
        <v>2.5824118642198829E-2</v>
      </c>
      <c r="D258" s="30">
        <f>(Fuentes!D1668/Fuentes!D$47)*100000</f>
        <v>0</v>
      </c>
      <c r="E258" s="35">
        <f>(Fuentes!E1668/Fuentes!E$47)*100000</f>
        <v>0</v>
      </c>
      <c r="F258" s="28">
        <f>(Fuentes!F1668/Fuentes!F$47)*100000</f>
        <v>1.4682832465210864</v>
      </c>
      <c r="G258" s="28">
        <f>(Fuentes!G1668/Fuentes!G$47)*100000</f>
        <v>0</v>
      </c>
      <c r="H258" s="28">
        <f>(Fuentes!H1668/Fuentes!H$47)*100000</f>
        <v>0</v>
      </c>
      <c r="I258" s="28">
        <f>(Fuentes!I1668/Fuentes!I$47)*100000</f>
        <v>0</v>
      </c>
      <c r="J258" s="28">
        <f>(Fuentes!J1668/Fuentes!J$47)*100000</f>
        <v>0</v>
      </c>
      <c r="K258" s="28">
        <f>(Fuentes!K1668/Fuentes!K$47)*100000</f>
        <v>0</v>
      </c>
      <c r="L258" s="28">
        <f>(Fuentes!L1668/Fuentes!L$47)*100000</f>
        <v>0</v>
      </c>
      <c r="M258" s="28">
        <f>(Fuentes!M1668/Fuentes!M$47)*100000</f>
        <v>0</v>
      </c>
      <c r="N258" s="36">
        <f>(Fuentes!N1668/Fuentes!N$47)*100000</f>
        <v>0</v>
      </c>
      <c r="O258" s="28">
        <f>(Fuentes!O1668/Fuentes!O$47)*100000</f>
        <v>0</v>
      </c>
      <c r="P258" s="28">
        <f>(Fuentes!P1668/Fuentes!P$47)*100000</f>
        <v>0</v>
      </c>
      <c r="Q258" s="28">
        <f>(Fuentes!Q1668/Fuentes!Q$47)*100000</f>
        <v>0.94277976308573086</v>
      </c>
      <c r="R258" s="28">
        <f>(Fuentes!R1668/Fuentes!R$47)*100000</f>
        <v>0.78638689780095183</v>
      </c>
      <c r="S258" s="28">
        <f>(Fuentes!S1668/Fuentes!S$47)*100000</f>
        <v>0.49076021210656362</v>
      </c>
      <c r="T258" s="28">
        <f>(Fuentes!T1668/Fuentes!T$47)*100000</f>
        <v>0.84891685283884877</v>
      </c>
      <c r="U258" s="28">
        <f>(Fuentes!U1668/Fuentes!U$47)*100000</f>
        <v>0.75948461374111531</v>
      </c>
      <c r="V258" s="28">
        <f>(Fuentes!V1668/Fuentes!V$47)*100000</f>
        <v>0.88967989119808044</v>
      </c>
    </row>
    <row r="259" spans="1:22" s="14" customFormat="1" ht="12.75" x14ac:dyDescent="0.2">
      <c r="A259" s="28" t="s">
        <v>3198</v>
      </c>
      <c r="B259" s="29" t="s">
        <v>3245</v>
      </c>
      <c r="C259" s="29">
        <f>(Fuentes!C1669/Fuentes!C$47)*100000</f>
        <v>0.10329647456879532</v>
      </c>
      <c r="D259" s="30">
        <f>(Fuentes!D1669/Fuentes!D$47)*100000</f>
        <v>0</v>
      </c>
      <c r="E259" s="35">
        <f>(Fuentes!E1669/Fuentes!E$47)*100000</f>
        <v>0</v>
      </c>
      <c r="F259" s="28">
        <f>(Fuentes!F1669/Fuentes!F$47)*100000</f>
        <v>0</v>
      </c>
      <c r="G259" s="28">
        <f>(Fuentes!G1669/Fuentes!G$47)*100000</f>
        <v>0</v>
      </c>
      <c r="H259" s="36">
        <f>(Fuentes!H1669/Fuentes!H$47)*100000</f>
        <v>0</v>
      </c>
      <c r="I259" s="28">
        <f>(Fuentes!I1669/Fuentes!I$47)*100000</f>
        <v>0</v>
      </c>
      <c r="J259" s="28">
        <f>(Fuentes!J1669/Fuentes!J$47)*100000</f>
        <v>0</v>
      </c>
      <c r="K259" s="28">
        <f>(Fuentes!K1669/Fuentes!K$47)*100000</f>
        <v>0</v>
      </c>
      <c r="L259" s="28">
        <f>(Fuentes!L1669/Fuentes!L$47)*100000</f>
        <v>0</v>
      </c>
      <c r="M259" s="28">
        <f>(Fuentes!M1669/Fuentes!M$47)*100000</f>
        <v>0</v>
      </c>
      <c r="N259" s="28">
        <f>(Fuentes!N1669/Fuentes!N$47)*100000</f>
        <v>0</v>
      </c>
      <c r="O259" s="28">
        <f>(Fuentes!O1669/Fuentes!O$47)*100000</f>
        <v>0</v>
      </c>
      <c r="P259" s="28">
        <f>(Fuentes!P1669/Fuentes!P$47)*100000</f>
        <v>0</v>
      </c>
      <c r="Q259" s="28">
        <f>(Fuentes!Q1669/Fuentes!Q$47)*100000</f>
        <v>0.29330925962667176</v>
      </c>
      <c r="R259" s="28">
        <f>(Fuentes!R1669/Fuentes!R$47)*100000</f>
        <v>0</v>
      </c>
      <c r="S259" s="28">
        <f>(Fuentes!S1669/Fuentes!S$47)*100000</f>
        <v>0</v>
      </c>
      <c r="T259" s="28">
        <f>(Fuentes!T1669/Fuentes!T$47)*100000</f>
        <v>0</v>
      </c>
      <c r="U259" s="28">
        <f>(Fuentes!U1669/Fuentes!U$47)*100000</f>
        <v>0</v>
      </c>
      <c r="V259" s="28">
        <f>(Fuentes!V1669/Fuentes!V$47)*100000</f>
        <v>0</v>
      </c>
    </row>
    <row r="260" spans="1:22" s="14" customFormat="1" ht="12.75" x14ac:dyDescent="0.2">
      <c r="A260" s="28" t="s">
        <v>3198</v>
      </c>
      <c r="B260" s="29" t="s">
        <v>3246</v>
      </c>
      <c r="C260" s="29">
        <f>(Fuentes!C1670/Fuentes!C$47)*100000</f>
        <v>0</v>
      </c>
      <c r="D260" s="30">
        <f>(Fuentes!D1670/Fuentes!D$47)*100000</f>
        <v>0</v>
      </c>
      <c r="E260" s="35">
        <f>(Fuentes!E1670/Fuentes!E$47)*100000</f>
        <v>0</v>
      </c>
      <c r="F260" s="28">
        <f>(Fuentes!F1670/Fuentes!F$47)*100000</f>
        <v>0</v>
      </c>
      <c r="G260" s="28">
        <f>(Fuentes!G1670/Fuentes!G$47)*100000</f>
        <v>0</v>
      </c>
      <c r="H260" s="28">
        <f>(Fuentes!H1670/Fuentes!H$47)*100000</f>
        <v>0</v>
      </c>
      <c r="I260" s="28">
        <f>(Fuentes!I1670/Fuentes!I$47)*100000</f>
        <v>0</v>
      </c>
      <c r="J260" s="28">
        <f>(Fuentes!J1670/Fuentes!J$47)*100000</f>
        <v>0</v>
      </c>
      <c r="K260" s="28">
        <f>(Fuentes!K1670/Fuentes!K$47)*100000</f>
        <v>0</v>
      </c>
      <c r="L260" s="28">
        <f>(Fuentes!L1670/Fuentes!L$47)*100000</f>
        <v>0.31324556640056456</v>
      </c>
      <c r="M260" s="28">
        <f>(Fuentes!M1670/Fuentes!M$47)*100000</f>
        <v>0.50729020131480795</v>
      </c>
      <c r="N260" s="36">
        <f>(Fuentes!N1670/Fuentes!N$47)*100000</f>
        <v>0.80572333594721601</v>
      </c>
      <c r="O260" s="28">
        <f>(Fuentes!O1670/Fuentes!O$47)*100000</f>
        <v>0.34390475042079971</v>
      </c>
      <c r="P260" s="28">
        <f>(Fuentes!P1670/Fuentes!P$47)*100000</f>
        <v>0.1909545265133995</v>
      </c>
      <c r="Q260" s="28">
        <f>(Fuentes!Q1670/Fuentes!Q$47)*100000</f>
        <v>0.37711190523429228</v>
      </c>
      <c r="R260" s="28">
        <f>(Fuentes!R1670/Fuentes!R$47)*100000</f>
        <v>0.95194203418009948</v>
      </c>
      <c r="S260" s="28">
        <f>(Fuentes!S1670/Fuentes!S$47)*100000</f>
        <v>0.14313839519774774</v>
      </c>
      <c r="T260" s="28">
        <f>(Fuentes!T1670/Fuentes!T$47)*100000</f>
        <v>8.0849224079890356E-2</v>
      </c>
      <c r="U260" s="28">
        <f>(Fuentes!U1670/Fuentes!U$47)*100000</f>
        <v>3.1578570781867423</v>
      </c>
      <c r="V260" s="28">
        <f>(Fuentes!V1670/Fuentes!V$47)*100000</f>
        <v>2.7283516663407803</v>
      </c>
    </row>
    <row r="261" spans="1:22" s="14" customFormat="1" ht="12.75" x14ac:dyDescent="0.2">
      <c r="A261" s="28" t="s">
        <v>3198</v>
      </c>
      <c r="B261" s="29" t="s">
        <v>3247</v>
      </c>
      <c r="C261" s="29">
        <f>(Fuentes!C1671/Fuentes!C$47)*100000</f>
        <v>4.6999895928801871</v>
      </c>
      <c r="D261" s="30">
        <f>(Fuentes!D1671/Fuentes!D$47)*100000</f>
        <v>4.3506931893692329</v>
      </c>
      <c r="E261" s="35">
        <f>(Fuentes!E1671/Fuentes!E$47)*100000</f>
        <v>3.8036699697272622</v>
      </c>
      <c r="F261" s="28">
        <f>(Fuentes!F1671/Fuentes!F$47)*100000</f>
        <v>4.3559069646792228</v>
      </c>
      <c r="G261" s="28">
        <f>(Fuentes!G1671/Fuentes!G$47)*100000</f>
        <v>4.0945868838820925</v>
      </c>
      <c r="H261" s="36">
        <f>(Fuentes!H1671/Fuentes!H$47)*100000</f>
        <v>2.7281906070532504</v>
      </c>
      <c r="I261" s="28">
        <f>(Fuentes!I1671/Fuentes!I$47)*100000</f>
        <v>2.5475289436682917</v>
      </c>
      <c r="J261" s="28">
        <f>(Fuentes!J1671/Fuentes!J$47)*100000</f>
        <v>2.4882556636615605</v>
      </c>
      <c r="K261" s="28">
        <f>(Fuentes!K1671/Fuentes!K$47)*100000</f>
        <v>1.839199471400448</v>
      </c>
      <c r="L261" s="28">
        <f>(Fuentes!L1671/Fuentes!L$47)*100000</f>
        <v>1.2753569489165844</v>
      </c>
      <c r="M261" s="28">
        <f>(Fuentes!M1671/Fuentes!M$47)*100000</f>
        <v>1.1028047854669738</v>
      </c>
      <c r="N261" s="28">
        <f>(Fuentes!N1671/Fuentes!N$47)*100000</f>
        <v>1.1541442379784446</v>
      </c>
      <c r="O261" s="28">
        <f>(Fuentes!O1671/Fuentes!O$47)*100000</f>
        <v>4.5782319899768966</v>
      </c>
      <c r="P261" s="28">
        <f>(Fuentes!P1671/Fuentes!P$47)*100000</f>
        <v>1.4427675336567962</v>
      </c>
      <c r="Q261" s="28">
        <f>(Fuentes!Q1671/Fuentes!Q$47)*100000</f>
        <v>2.0950661401905126</v>
      </c>
      <c r="R261" s="28">
        <f>(Fuentes!R1671/Fuentes!R$47)*100000</f>
        <v>0.97263642622749302</v>
      </c>
      <c r="S261" s="28">
        <f>(Fuentes!S1671/Fuentes!S$47)*100000</f>
        <v>1.3291422411219433</v>
      </c>
      <c r="T261" s="28">
        <f>(Fuentes!T1671/Fuentes!T$47)*100000</f>
        <v>2.0818675200571768</v>
      </c>
      <c r="U261" s="28">
        <f>(Fuentes!U1671/Fuentes!U$47)*100000</f>
        <v>4.4369890592244108</v>
      </c>
      <c r="V261" s="28">
        <f>(Fuentes!V1671/Fuentes!V$47)*100000</f>
        <v>1.5223411471611599</v>
      </c>
    </row>
    <row r="262" spans="1:22" s="14" customFormat="1" ht="12.75" x14ac:dyDescent="0.2">
      <c r="A262" s="28" t="s">
        <v>3198</v>
      </c>
      <c r="B262" s="29" t="s">
        <v>3248</v>
      </c>
      <c r="C262" s="29">
        <f>(Fuentes!C1672/Fuentes!C$47)*100000</f>
        <v>7.7472355926596501E-2</v>
      </c>
      <c r="D262" s="30">
        <f>(Fuentes!D1672/Fuentes!D$47)*100000</f>
        <v>0.15176836707101973</v>
      </c>
      <c r="E262" s="35">
        <f>(Fuentes!E1672/Fuentes!E$47)*100000</f>
        <v>0.47235117271122856</v>
      </c>
      <c r="F262" s="28">
        <f>(Fuentes!F1672/Fuentes!F$47)*100000</f>
        <v>1.1256838223328329</v>
      </c>
      <c r="G262" s="28">
        <f>(Fuentes!G1672/Fuentes!G$47)*100000</f>
        <v>0.7466599611784992</v>
      </c>
      <c r="H262" s="28">
        <f>(Fuentes!H1672/Fuentes!H$47)*100000</f>
        <v>0.61680831115986534</v>
      </c>
      <c r="I262" s="28">
        <f>(Fuentes!I1672/Fuentes!I$47)*100000</f>
        <v>0.95824483202201816</v>
      </c>
      <c r="J262" s="28">
        <f>(Fuentes!J1672/Fuentes!J$47)*100000</f>
        <v>1.3823642575897557</v>
      </c>
      <c r="K262" s="28">
        <f>(Fuentes!K1672/Fuentes!K$47)*100000</f>
        <v>1.1807206483064605</v>
      </c>
      <c r="L262" s="28">
        <f>(Fuentes!L1672/Fuentes!L$47)*100000</f>
        <v>1.3201063155452364</v>
      </c>
      <c r="M262" s="28">
        <f>(Fuentes!M1672/Fuentes!M$47)*100000</f>
        <v>1.3233657425603687</v>
      </c>
      <c r="N262" s="36">
        <f>(Fuentes!N1672/Fuentes!N$47)*100000</f>
        <v>1.4807888336327213</v>
      </c>
      <c r="O262" s="28">
        <f>(Fuentes!O1672/Fuentes!O$47)*100000</f>
        <v>2.364345159142998</v>
      </c>
      <c r="P262" s="28">
        <f>(Fuentes!P1672/Fuentes!P$47)*100000</f>
        <v>3.055272424214392</v>
      </c>
      <c r="Q262" s="28">
        <f>(Fuentes!Q1672/Fuentes!Q$47)*100000</f>
        <v>4.7767507996343692</v>
      </c>
      <c r="R262" s="28">
        <f>(Fuentes!R1672/Fuentes!R$47)*100000</f>
        <v>5.1115148357061866</v>
      </c>
      <c r="S262" s="28">
        <f>(Fuentes!S1672/Fuentes!S$47)*100000</f>
        <v>5.3574656488299865</v>
      </c>
      <c r="T262" s="28">
        <f>(Fuentes!T1672/Fuentes!T$47)*100000</f>
        <v>5.8211441337521057</v>
      </c>
      <c r="U262" s="28">
        <f>(Fuentes!U1672/Fuentes!U$47)*100000</f>
        <v>3.9573145663352847</v>
      </c>
      <c r="V262" s="28">
        <f>(Fuentes!V1672/Fuentes!V$47)*100000</f>
        <v>7.6117057358058</v>
      </c>
    </row>
    <row r="263" spans="1:22" s="14" customFormat="1" ht="12.75" x14ac:dyDescent="0.2">
      <c r="A263" s="28" t="s">
        <v>3198</v>
      </c>
      <c r="B263" s="29" t="s">
        <v>3249</v>
      </c>
      <c r="C263" s="29">
        <f>(Fuentes!C1673/Fuentes!C$47)*100000</f>
        <v>2.5824118642198829E-2</v>
      </c>
      <c r="D263" s="30">
        <f>(Fuentes!D1673/Fuentes!D$47)*100000</f>
        <v>7.5884183535509867E-2</v>
      </c>
      <c r="E263" s="35">
        <f>(Fuentes!E1673/Fuentes!E$47)*100000</f>
        <v>0.29832705644919699</v>
      </c>
      <c r="F263" s="28">
        <f>(Fuentes!F1673/Fuentes!F$47)*100000</f>
        <v>4.8942774884036214E-2</v>
      </c>
      <c r="G263" s="28">
        <f>(Fuentes!G1673/Fuentes!G$47)*100000</f>
        <v>7.2257415597919275E-2</v>
      </c>
      <c r="H263" s="36">
        <f>(Fuentes!H1673/Fuentes!H$47)*100000</f>
        <v>0.40329774191221962</v>
      </c>
      <c r="I263" s="28">
        <f>(Fuentes!I1673/Fuentes!I$47)*100000</f>
        <v>0.25709007688395608</v>
      </c>
      <c r="J263" s="28">
        <f>(Fuentes!J1673/Fuentes!J$47)*100000</f>
        <v>0.36863046869060151</v>
      </c>
      <c r="K263" s="28">
        <f>(Fuentes!K1673/Fuentes!K$47)*100000</f>
        <v>0.24976782944944356</v>
      </c>
      <c r="L263" s="28">
        <f>(Fuentes!L1673/Fuentes!L$47)*100000</f>
        <v>0.24612151645758645</v>
      </c>
      <c r="M263" s="28">
        <f>(Fuentes!M1673/Fuentes!M$47)*100000</f>
        <v>0.26467314851207369</v>
      </c>
      <c r="N263" s="28">
        <f>(Fuentes!N1673/Fuentes!N$47)*100000</f>
        <v>0.3484209020312285</v>
      </c>
      <c r="O263" s="28">
        <f>(Fuentes!O1673/Fuentes!O$47)*100000</f>
        <v>0.23643451591429979</v>
      </c>
      <c r="P263" s="28">
        <f>(Fuentes!P1673/Fuentes!P$47)*100000</f>
        <v>0.31825754418899915</v>
      </c>
      <c r="Q263" s="28">
        <f>(Fuentes!Q1673/Fuentes!Q$47)*100000</f>
        <v>0.50281587364572311</v>
      </c>
      <c r="R263" s="28">
        <f>(Fuentes!R1673/Fuentes!R$47)*100000</f>
        <v>0.33111027275829552</v>
      </c>
      <c r="S263" s="28">
        <f>(Fuentes!S1673/Fuentes!S$47)*100000</f>
        <v>0.32717347473770914</v>
      </c>
      <c r="T263" s="28">
        <f>(Fuentes!T1673/Fuentes!T$47)*100000</f>
        <v>0.44467073243939692</v>
      </c>
      <c r="U263" s="28">
        <f>(Fuentes!U1673/Fuentes!U$47)*100000</f>
        <v>0.55962024170397962</v>
      </c>
      <c r="V263" s="28">
        <f>(Fuentes!V1673/Fuentes!V$47)*100000</f>
        <v>0.39541328497692463</v>
      </c>
    </row>
    <row r="264" spans="1:22" s="14" customFormat="1" ht="12.75" x14ac:dyDescent="0.2">
      <c r="A264" s="28" t="s">
        <v>3198</v>
      </c>
      <c r="B264" s="29" t="s">
        <v>3250</v>
      </c>
      <c r="C264" s="29">
        <f>(Fuentes!C1674/Fuentes!C$47)*100000</f>
        <v>0</v>
      </c>
      <c r="D264" s="30">
        <f>(Fuentes!D1674/Fuentes!D$47)*100000</f>
        <v>0</v>
      </c>
      <c r="E264" s="35">
        <f>(Fuentes!E1674/Fuentes!E$47)*100000</f>
        <v>0</v>
      </c>
      <c r="F264" s="28">
        <f>(Fuentes!F1674/Fuentes!F$47)*100000</f>
        <v>0</v>
      </c>
      <c r="G264" s="28">
        <f>(Fuentes!G1674/Fuentes!G$47)*100000</f>
        <v>0</v>
      </c>
      <c r="H264" s="28">
        <f>(Fuentes!H1674/Fuentes!H$47)*100000</f>
        <v>0</v>
      </c>
      <c r="I264" s="28">
        <f>(Fuentes!I1674/Fuentes!I$47)*100000</f>
        <v>0</v>
      </c>
      <c r="J264" s="28">
        <f>(Fuentes!J1674/Fuentes!J$47)*100000</f>
        <v>0</v>
      </c>
      <c r="K264" s="28">
        <f>(Fuentes!K1674/Fuentes!K$47)*100000</f>
        <v>0</v>
      </c>
      <c r="L264" s="28">
        <f>(Fuentes!L1674/Fuentes!L$47)*100000</f>
        <v>0</v>
      </c>
      <c r="M264" s="28">
        <f>(Fuentes!M1674/Fuentes!M$47)*100000</f>
        <v>0</v>
      </c>
      <c r="N264" s="36">
        <f>(Fuentes!N1674/Fuentes!N$47)*100000</f>
        <v>0</v>
      </c>
      <c r="O264" s="28">
        <f>(Fuentes!O1674/Fuentes!O$47)*100000</f>
        <v>0</v>
      </c>
      <c r="P264" s="28">
        <f>(Fuentes!P1674/Fuentes!P$47)*100000</f>
        <v>0</v>
      </c>
      <c r="Q264" s="28">
        <f>(Fuentes!Q1674/Fuentes!Q$47)*100000</f>
        <v>0</v>
      </c>
      <c r="R264" s="28">
        <f>(Fuentes!R1674/Fuentes!R$47)*100000</f>
        <v>2.069439204739347E-2</v>
      </c>
      <c r="S264" s="28">
        <f>(Fuentes!S1674/Fuentes!S$47)*100000</f>
        <v>0</v>
      </c>
      <c r="T264" s="28">
        <f>(Fuentes!T1674/Fuentes!T$47)*100000</f>
        <v>0</v>
      </c>
      <c r="U264" s="28">
        <f>(Fuentes!U1674/Fuentes!U$47)*100000</f>
        <v>0</v>
      </c>
      <c r="V264" s="28">
        <f>(Fuentes!V1674/Fuentes!V$47)*100000</f>
        <v>0</v>
      </c>
    </row>
    <row r="265" spans="1:22" s="14" customFormat="1" ht="12.75" x14ac:dyDescent="0.2">
      <c r="A265" s="28" t="s">
        <v>3198</v>
      </c>
      <c r="B265" s="29" t="s">
        <v>3251</v>
      </c>
      <c r="C265" s="29">
        <f>(Fuentes!C1675/Fuentes!C$47)*100000</f>
        <v>2.5049395082932864</v>
      </c>
      <c r="D265" s="30">
        <f>(Fuentes!D1675/Fuentes!D$47)*100000</f>
        <v>6.2225030499118104</v>
      </c>
      <c r="E265" s="35">
        <f>(Fuentes!E1675/Fuentes!E$47)*100000</f>
        <v>4.0522758501015925</v>
      </c>
      <c r="F265" s="28">
        <f>(Fuentes!F1675/Fuentes!F$47)*100000</f>
        <v>5.6528904991061824</v>
      </c>
      <c r="G265" s="28">
        <f>(Fuentes!G1675/Fuentes!G$47)*100000</f>
        <v>4.2150159098786242</v>
      </c>
      <c r="H265" s="36">
        <f>(Fuentes!H1675/Fuentes!H$47)*100000</f>
        <v>3.0603181592162549</v>
      </c>
      <c r="I265" s="28">
        <f>(Fuentes!I1675/Fuentes!I$47)*100000</f>
        <v>1.8230023633589612</v>
      </c>
      <c r="J265" s="28">
        <f>(Fuentes!J1675/Fuentes!J$47)*100000</f>
        <v>2.6725708980068612</v>
      </c>
      <c r="K265" s="28">
        <f>(Fuentes!K1675/Fuentes!K$47)*100000</f>
        <v>1.6575501408917621</v>
      </c>
      <c r="L265" s="28">
        <f>(Fuentes!L1675/Fuentes!L$47)*100000</f>
        <v>0.98448606583034581</v>
      </c>
      <c r="M265" s="28">
        <f>(Fuentes!M1675/Fuentes!M$47)*100000</f>
        <v>0.74990725411754222</v>
      </c>
      <c r="N265" s="28">
        <f>(Fuentes!N1675/Fuentes!N$47)*100000</f>
        <v>0.80572333594721601</v>
      </c>
      <c r="O265" s="28">
        <f>(Fuentes!O1675/Fuentes!O$47)*100000</f>
        <v>0.6233273601376994</v>
      </c>
      <c r="P265" s="28">
        <f>(Fuentes!P1675/Fuentes!P$47)*100000</f>
        <v>0.7001665972157981</v>
      </c>
      <c r="Q265" s="28">
        <f>(Fuentes!Q1675/Fuentes!Q$47)*100000</f>
        <v>1.6760529121524101</v>
      </c>
      <c r="R265" s="28">
        <f>(Fuentes!R1675/Fuentes!R$47)*100000</f>
        <v>1.6555513637914776</v>
      </c>
      <c r="S265" s="28">
        <f>(Fuentes!S1675/Fuentes!S$47)*100000</f>
        <v>1.3086938989508365</v>
      </c>
      <c r="T265" s="28">
        <f>(Fuentes!T1675/Fuentes!T$47)*100000</f>
        <v>1.1723137491584101</v>
      </c>
      <c r="U265" s="28">
        <f>(Fuentes!U1675/Fuentes!U$47)*100000</f>
        <v>0.81944392535225585</v>
      </c>
      <c r="V265" s="28">
        <f>(Fuentes!V1675/Fuentes!V$47)*100000</f>
        <v>1.4630291544146212</v>
      </c>
    </row>
    <row r="266" spans="1:22" s="14" customFormat="1" ht="12.75" x14ac:dyDescent="0.2">
      <c r="A266" s="28" t="s">
        <v>3198</v>
      </c>
      <c r="B266" s="29" t="s">
        <v>3252</v>
      </c>
      <c r="C266" s="29">
        <f>(Fuentes!C1676/Fuentes!C$47)*100000</f>
        <v>0</v>
      </c>
      <c r="D266" s="30">
        <f>(Fuentes!D1676/Fuentes!D$47)*100000</f>
        <v>0</v>
      </c>
      <c r="E266" s="35">
        <f>(Fuentes!E1676/Fuentes!E$47)*100000</f>
        <v>0</v>
      </c>
      <c r="F266" s="28">
        <f>(Fuentes!F1676/Fuentes!F$47)*100000</f>
        <v>0</v>
      </c>
      <c r="G266" s="28">
        <f>(Fuentes!G1676/Fuentes!G$47)*100000</f>
        <v>0</v>
      </c>
      <c r="H266" s="28">
        <f>(Fuentes!H1676/Fuentes!H$47)*100000</f>
        <v>0</v>
      </c>
      <c r="I266" s="28">
        <f>(Fuentes!I1676/Fuentes!I$47)*100000</f>
        <v>0</v>
      </c>
      <c r="J266" s="28">
        <f>(Fuentes!J1676/Fuentes!J$47)*100000</f>
        <v>0</v>
      </c>
      <c r="K266" s="28">
        <f>(Fuentes!K1676/Fuentes!K$47)*100000</f>
        <v>0</v>
      </c>
      <c r="L266" s="28">
        <f>(Fuentes!L1676/Fuentes!L$47)*100000</f>
        <v>0.89498733257304164</v>
      </c>
      <c r="M266" s="28">
        <f>(Fuentes!M1676/Fuentes!M$47)*100000</f>
        <v>0.70579506269886327</v>
      </c>
      <c r="N266" s="36">
        <f>(Fuentes!N1676/Fuentes!N$47)*100000</f>
        <v>0.63151288493160163</v>
      </c>
      <c r="O266" s="28">
        <f>(Fuentes!O1676/Fuentes!O$47)*100000</f>
        <v>1.5690654237948987</v>
      </c>
      <c r="P266" s="28">
        <f>(Fuentes!P1676/Fuentes!P$47)*100000</f>
        <v>0.42434339225199885</v>
      </c>
      <c r="Q266" s="28">
        <f>(Fuentes!Q1676/Fuentes!Q$47)*100000</f>
        <v>0.35616124383238718</v>
      </c>
      <c r="R266" s="28">
        <f>(Fuentes!R1676/Fuentes!R$47)*100000</f>
        <v>0.53805419323223014</v>
      </c>
      <c r="S266" s="28">
        <f>(Fuentes!S1676/Fuentes!S$47)*100000</f>
        <v>0.67479529164652496</v>
      </c>
      <c r="T266" s="28">
        <f>(Fuentes!T1676/Fuentes!T$47)*100000</f>
        <v>0.32339689631956142</v>
      </c>
      <c r="U266" s="28">
        <f>(Fuentes!U1676/Fuentes!U$47)*100000</f>
        <v>0.15989149762970847</v>
      </c>
      <c r="V266" s="28">
        <f>(Fuentes!V1676/Fuentes!V$47)*100000</f>
        <v>0.21747730673730856</v>
      </c>
    </row>
    <row r="267" spans="1:22" s="14" customFormat="1" ht="12.75" x14ac:dyDescent="0.2">
      <c r="A267" s="28" t="s">
        <v>3198</v>
      </c>
      <c r="B267" s="29" t="s">
        <v>3253</v>
      </c>
      <c r="C267" s="29">
        <f>(Fuentes!C1677/Fuentes!C$47)*100000</f>
        <v>0</v>
      </c>
      <c r="D267" s="30">
        <f>(Fuentes!D1677/Fuentes!D$47)*100000</f>
        <v>0</v>
      </c>
      <c r="E267" s="35">
        <f>(Fuentes!E1677/Fuentes!E$47)*100000</f>
        <v>0</v>
      </c>
      <c r="F267" s="28">
        <f>(Fuentes!F1677/Fuentes!F$47)*100000</f>
        <v>0</v>
      </c>
      <c r="G267" s="28">
        <f>(Fuentes!G1677/Fuentes!G$47)*100000</f>
        <v>0</v>
      </c>
      <c r="H267" s="36">
        <f>(Fuentes!H1677/Fuentes!H$47)*100000</f>
        <v>0</v>
      </c>
      <c r="I267" s="28">
        <f>(Fuentes!I1677/Fuentes!I$47)*100000</f>
        <v>0</v>
      </c>
      <c r="J267" s="28">
        <f>(Fuentes!J1677/Fuentes!J$47)*100000</f>
        <v>0</v>
      </c>
      <c r="K267" s="28">
        <f>(Fuentes!K1677/Fuentes!K$47)*100000</f>
        <v>0</v>
      </c>
      <c r="L267" s="28">
        <f>(Fuentes!L1677/Fuentes!L$47)*100000</f>
        <v>0</v>
      </c>
      <c r="M267" s="28">
        <f>(Fuentes!M1677/Fuentes!M$47)*100000</f>
        <v>0</v>
      </c>
      <c r="N267" s="28">
        <f>(Fuentes!N1677/Fuentes!N$47)*100000</f>
        <v>0</v>
      </c>
      <c r="O267" s="28">
        <f>(Fuentes!O1677/Fuentes!O$47)*100000</f>
        <v>0</v>
      </c>
      <c r="P267" s="28">
        <f>(Fuentes!P1677/Fuentes!P$47)*100000</f>
        <v>4.2434339225199888E-2</v>
      </c>
      <c r="Q267" s="28">
        <f>(Fuentes!Q1677/Fuentes!Q$47)*100000</f>
        <v>0</v>
      </c>
      <c r="R267" s="28">
        <f>(Fuentes!R1677/Fuentes!R$47)*100000</f>
        <v>0</v>
      </c>
      <c r="S267" s="28">
        <f>(Fuentes!S1677/Fuentes!S$47)*100000</f>
        <v>0</v>
      </c>
      <c r="T267" s="28">
        <f>(Fuentes!T1677/Fuentes!T$47)*100000</f>
        <v>0</v>
      </c>
      <c r="U267" s="28">
        <f>(Fuentes!U1677/Fuentes!U$47)*100000</f>
        <v>0</v>
      </c>
      <c r="V267" s="28">
        <f>(Fuentes!V1677/Fuentes!V$47)*100000</f>
        <v>1.9770664248846232E-2</v>
      </c>
    </row>
    <row r="268" spans="1:22" s="14" customFormat="1" ht="12.75" x14ac:dyDescent="0.2">
      <c r="A268" s="28" t="s">
        <v>3198</v>
      </c>
      <c r="B268" s="29" t="s">
        <v>3254</v>
      </c>
      <c r="C268" s="29">
        <f>(Fuentes!C1678/Fuentes!C$47)*100000</f>
        <v>3.3313113048436489</v>
      </c>
      <c r="D268" s="30">
        <f>(Fuentes!D1678/Fuentes!D$47)*100000</f>
        <v>2.7065358794331855</v>
      </c>
      <c r="E268" s="35">
        <f>(Fuentes!E1678/Fuentes!E$47)*100000</f>
        <v>1.8396835147700481</v>
      </c>
      <c r="F268" s="28">
        <f>(Fuentes!F1678/Fuentes!F$47)*100000</f>
        <v>1.1990979846588872</v>
      </c>
      <c r="G268" s="28">
        <f>(Fuentes!G1678/Fuentes!G$47)*100000</f>
        <v>1.5896631431542241</v>
      </c>
      <c r="H268" s="28">
        <f>(Fuentes!H1678/Fuentes!H$47)*100000</f>
        <v>1.3285102086520177</v>
      </c>
      <c r="I268" s="28">
        <f>(Fuentes!I1678/Fuentes!I$47)*100000</f>
        <v>0.53755197893918083</v>
      </c>
      <c r="J268" s="28">
        <f>(Fuentes!J1678/Fuentes!J$47)*100000</f>
        <v>0.34559106439743892</v>
      </c>
      <c r="K268" s="28">
        <f>(Fuentes!K1678/Fuentes!K$47)*100000</f>
        <v>0.36329866101737252</v>
      </c>
      <c r="L268" s="28">
        <f>(Fuentes!L1678/Fuentes!L$47)*100000</f>
        <v>0.64886581611545513</v>
      </c>
      <c r="M268" s="28">
        <f>(Fuentes!M1678/Fuentes!M$47)*100000</f>
        <v>0.17644876567471582</v>
      </c>
      <c r="N268" s="36">
        <f>(Fuentes!N1678/Fuentes!N$47)*100000</f>
        <v>0.13065783826171071</v>
      </c>
      <c r="O268" s="28">
        <f>(Fuentes!O1678/Fuentes!O$47)*100000</f>
        <v>0.25792856281559978</v>
      </c>
      <c r="P268" s="28">
        <f>(Fuentes!P1678/Fuentes!P$47)*100000</f>
        <v>4.2434339225199888E-2</v>
      </c>
      <c r="Q268" s="28">
        <f>(Fuentes!Q1678/Fuentes!Q$47)*100000</f>
        <v>0</v>
      </c>
      <c r="R268" s="28">
        <f>(Fuentes!R1678/Fuentes!R$47)*100000</f>
        <v>0</v>
      </c>
      <c r="S268" s="28">
        <f>(Fuentes!S1678/Fuentes!S$47)*100000</f>
        <v>0</v>
      </c>
      <c r="T268" s="28">
        <f>(Fuentes!T1678/Fuentes!T$47)*100000</f>
        <v>0</v>
      </c>
      <c r="U268" s="28">
        <f>(Fuentes!U1678/Fuentes!U$47)*100000</f>
        <v>0</v>
      </c>
      <c r="V268" s="28">
        <f>(Fuentes!V1678/Fuentes!V$47)*100000</f>
        <v>0</v>
      </c>
    </row>
    <row r="269" spans="1:22" s="14" customFormat="1" ht="12.75" x14ac:dyDescent="0.2">
      <c r="A269" s="28" t="s">
        <v>3198</v>
      </c>
      <c r="B269" s="29" t="s">
        <v>3255</v>
      </c>
      <c r="C269" s="29">
        <f>(Fuentes!C1679/Fuentes!C$47)*100000</f>
        <v>0</v>
      </c>
      <c r="D269" s="30">
        <f>(Fuentes!D1679/Fuentes!D$47)*100000</f>
        <v>0</v>
      </c>
      <c r="E269" s="35">
        <f>(Fuentes!E1679/Fuentes!E$47)*100000</f>
        <v>0</v>
      </c>
      <c r="F269" s="28">
        <f>(Fuentes!F1679/Fuentes!F$47)*100000</f>
        <v>0</v>
      </c>
      <c r="G269" s="28">
        <f>(Fuentes!G1679/Fuentes!G$47)*100000</f>
        <v>0</v>
      </c>
      <c r="H269" s="36">
        <f>(Fuentes!H1679/Fuentes!H$47)*100000</f>
        <v>0</v>
      </c>
      <c r="I269" s="28">
        <f>(Fuentes!I1679/Fuentes!I$47)*100000</f>
        <v>0</v>
      </c>
      <c r="J269" s="28">
        <f>(Fuentes!J1679/Fuentes!J$47)*100000</f>
        <v>0</v>
      </c>
      <c r="K269" s="28">
        <f>(Fuentes!K1679/Fuentes!K$47)*100000</f>
        <v>0</v>
      </c>
      <c r="L269" s="28">
        <f>(Fuentes!L1679/Fuentes!L$47)*100000</f>
        <v>0</v>
      </c>
      <c r="M269" s="28">
        <f>(Fuentes!M1679/Fuentes!M$47)*100000</f>
        <v>0</v>
      </c>
      <c r="N269" s="28">
        <f>(Fuentes!N1679/Fuentes!N$47)*100000</f>
        <v>0</v>
      </c>
      <c r="O269" s="28">
        <f>(Fuentes!O1679/Fuentes!O$47)*100000</f>
        <v>0</v>
      </c>
      <c r="P269" s="28">
        <f>(Fuentes!P1679/Fuentes!P$47)*100000</f>
        <v>0</v>
      </c>
      <c r="Q269" s="28">
        <f>(Fuentes!Q1679/Fuentes!Q$47)*100000</f>
        <v>0</v>
      </c>
      <c r="R269" s="28">
        <f>(Fuentes!R1679/Fuentes!R$47)*100000</f>
        <v>2.069439204739347E-2</v>
      </c>
      <c r="S269" s="28">
        <f>(Fuentes!S1679/Fuentes!S$47)*100000</f>
        <v>8.1793368684427284E-2</v>
      </c>
      <c r="T269" s="28">
        <f>(Fuentes!T1679/Fuentes!T$47)*100000</f>
        <v>2.0212306019972589E-2</v>
      </c>
      <c r="U269" s="28">
        <f>(Fuentes!U1679/Fuentes!U$47)*100000</f>
        <v>0</v>
      </c>
      <c r="V269" s="28">
        <f>(Fuentes!V1679/Fuentes!V$47)*100000</f>
        <v>0</v>
      </c>
    </row>
    <row r="270" spans="1:22" s="14" customFormat="1" ht="12.75" x14ac:dyDescent="0.2">
      <c r="A270" s="28" t="s">
        <v>3198</v>
      </c>
      <c r="B270" s="29" t="s">
        <v>3256</v>
      </c>
      <c r="C270" s="29">
        <f>(Fuentes!C1680/Fuentes!C$47)*100000</f>
        <v>0</v>
      </c>
      <c r="D270" s="30">
        <f>(Fuentes!D1680/Fuentes!D$47)*100000</f>
        <v>0</v>
      </c>
      <c r="E270" s="35">
        <f>(Fuentes!E1680/Fuentes!E$47)*100000</f>
        <v>0</v>
      </c>
      <c r="F270" s="28">
        <f>(Fuentes!F1680/Fuentes!F$47)*100000</f>
        <v>0</v>
      </c>
      <c r="G270" s="28">
        <f>(Fuentes!G1680/Fuentes!G$47)*100000</f>
        <v>0</v>
      </c>
      <c r="H270" s="28">
        <f>(Fuentes!H1680/Fuentes!H$47)*100000</f>
        <v>0</v>
      </c>
      <c r="I270" s="28">
        <f>(Fuentes!I1680/Fuentes!I$47)*100000</f>
        <v>0</v>
      </c>
      <c r="J270" s="28">
        <f>(Fuentes!J1680/Fuentes!J$47)*100000</f>
        <v>0</v>
      </c>
      <c r="K270" s="28">
        <f>(Fuentes!K1680/Fuentes!K$47)*100000</f>
        <v>0</v>
      </c>
      <c r="L270" s="28">
        <f>(Fuentes!L1680/Fuentes!L$47)*100000</f>
        <v>0</v>
      </c>
      <c r="M270" s="28">
        <f>(Fuentes!M1680/Fuentes!M$47)*100000</f>
        <v>0.22056095709339477</v>
      </c>
      <c r="N270" s="36">
        <f>(Fuentes!N1680/Fuentes!N$47)*100000</f>
        <v>0.10888153188475892</v>
      </c>
      <c r="O270" s="28">
        <f>(Fuentes!O1680/Fuentes!O$47)*100000</f>
        <v>0.15045832830909986</v>
      </c>
      <c r="P270" s="28">
        <f>(Fuentes!P1680/Fuentes!P$47)*100000</f>
        <v>0.16973735690079955</v>
      </c>
      <c r="Q270" s="28">
        <f>(Fuentes!Q1680/Fuentes!Q$47)*100000</f>
        <v>0.16760529121524104</v>
      </c>
      <c r="R270" s="28">
        <f>(Fuentes!R1680/Fuentes!R$47)*100000</f>
        <v>0.16555513637914776</v>
      </c>
      <c r="S270" s="28">
        <f>(Fuentes!S1680/Fuentes!S$47)*100000</f>
        <v>2.0448342171106821E-2</v>
      </c>
      <c r="T270" s="28">
        <f>(Fuentes!T1680/Fuentes!T$47)*100000</f>
        <v>0.14148614213980812</v>
      </c>
      <c r="U270" s="28">
        <f>(Fuentes!U1680/Fuentes!U$47)*100000</f>
        <v>0.11991862322228136</v>
      </c>
      <c r="V270" s="28">
        <f>(Fuentes!V1680/Fuentes!V$47)*100000</f>
        <v>7.9082656995384928E-2</v>
      </c>
    </row>
    <row r="271" spans="1:22" s="14" customFormat="1" ht="12.75" x14ac:dyDescent="0.2">
      <c r="A271" s="28" t="s">
        <v>3198</v>
      </c>
      <c r="B271" s="29" t="s">
        <v>3257</v>
      </c>
      <c r="C271" s="29">
        <f>(Fuentes!C1681/Fuentes!C$47)*100000</f>
        <v>0</v>
      </c>
      <c r="D271" s="30">
        <f>(Fuentes!D1681/Fuentes!D$47)*100000</f>
        <v>0</v>
      </c>
      <c r="E271" s="35">
        <f>(Fuentes!E1681/Fuentes!E$47)*100000</f>
        <v>0</v>
      </c>
      <c r="F271" s="28">
        <f>(Fuentes!F1681/Fuentes!F$47)*100000</f>
        <v>0</v>
      </c>
      <c r="G271" s="28">
        <f>(Fuentes!G1681/Fuentes!G$47)*100000</f>
        <v>0</v>
      </c>
      <c r="H271" s="36">
        <f>(Fuentes!H1681/Fuentes!H$47)*100000</f>
        <v>0</v>
      </c>
      <c r="I271" s="28">
        <f>(Fuentes!I1681/Fuentes!I$47)*100000</f>
        <v>0</v>
      </c>
      <c r="J271" s="28">
        <f>(Fuentes!J1681/Fuentes!J$47)*100000</f>
        <v>0</v>
      </c>
      <c r="K271" s="28">
        <f>(Fuentes!K1681/Fuentes!K$47)*100000</f>
        <v>0</v>
      </c>
      <c r="L271" s="28">
        <f>(Fuentes!L1681/Fuentes!L$47)*100000</f>
        <v>0</v>
      </c>
      <c r="M271" s="28">
        <f>(Fuentes!M1681/Fuentes!M$47)*100000</f>
        <v>0.11028047854669738</v>
      </c>
      <c r="N271" s="28">
        <f>(Fuentes!N1681/Fuentes!N$47)*100000</f>
        <v>6.5328919130855354E-2</v>
      </c>
      <c r="O271" s="28">
        <f>(Fuentes!O1681/Fuentes!O$47)*100000</f>
        <v>2.1494046901299982E-2</v>
      </c>
      <c r="P271" s="28">
        <f>(Fuentes!P1681/Fuentes!P$47)*100000</f>
        <v>0</v>
      </c>
      <c r="Q271" s="28">
        <f>(Fuentes!Q1681/Fuentes!Q$47)*100000</f>
        <v>0.2304572754209564</v>
      </c>
      <c r="R271" s="28">
        <f>(Fuentes!R1681/Fuentes!R$47)*100000</f>
        <v>4.138878409478694E-2</v>
      </c>
      <c r="S271" s="28">
        <f>(Fuentes!S1681/Fuentes!S$47)*100000</f>
        <v>0.14313839519774774</v>
      </c>
      <c r="T271" s="28">
        <f>(Fuentes!T1681/Fuentes!T$47)*100000</f>
        <v>0.12127383611983551</v>
      </c>
      <c r="U271" s="28">
        <f>(Fuentes!U1681/Fuentes!U$47)*100000</f>
        <v>7.9945748814854237E-2</v>
      </c>
      <c r="V271" s="28">
        <f>(Fuentes!V1681/Fuentes!V$47)*100000</f>
        <v>0.11862398549307739</v>
      </c>
    </row>
    <row r="272" spans="1:22" s="14" customFormat="1" ht="12.75" x14ac:dyDescent="0.2">
      <c r="A272" s="28" t="s">
        <v>3198</v>
      </c>
      <c r="B272" s="29" t="s">
        <v>3258</v>
      </c>
      <c r="C272" s="29">
        <f>(Fuentes!C1682/Fuentes!C$47)*100000</f>
        <v>0.87802003383476035</v>
      </c>
      <c r="D272" s="30">
        <f>(Fuentes!D1682/Fuentes!D$47)*100000</f>
        <v>3.2630198920269247</v>
      </c>
      <c r="E272" s="35">
        <f>(Fuentes!E1682/Fuentes!E$47)*100000</f>
        <v>4.2014393783261914</v>
      </c>
      <c r="F272" s="28">
        <f>(Fuentes!F1682/Fuentes!F$47)*100000</f>
        <v>3.2302231423463899</v>
      </c>
      <c r="G272" s="28">
        <f>(Fuentes!G1682/Fuentes!G$47)*100000</f>
        <v>2.9143824291160776</v>
      </c>
      <c r="H272" s="28">
        <f>(Fuentes!H1682/Fuentes!H$47)*100000</f>
        <v>3.2026585387146853</v>
      </c>
      <c r="I272" s="28">
        <f>(Fuentes!I1682/Fuentes!I$47)*100000</f>
        <v>4.3471594818559849</v>
      </c>
      <c r="J272" s="28">
        <f>(Fuentes!J1682/Fuentes!J$47)*100000</f>
        <v>5.6907328604111607</v>
      </c>
      <c r="K272" s="28">
        <f>(Fuentes!K1682/Fuentes!K$47)*100000</f>
        <v>5.8354847425915457</v>
      </c>
      <c r="L272" s="28">
        <f>(Fuentes!L1682/Fuentes!L$47)*100000</f>
        <v>6.958526510755398</v>
      </c>
      <c r="M272" s="28">
        <f>(Fuentes!M1682/Fuentes!M$47)*100000</f>
        <v>4.2127142804838398</v>
      </c>
      <c r="N272" s="36">
        <f>(Fuentes!N1682/Fuentes!N$47)*100000</f>
        <v>4.6165769519137783</v>
      </c>
      <c r="O272" s="28">
        <f>(Fuentes!O1682/Fuentes!O$47)*100000</f>
        <v>4.7071962713846958</v>
      </c>
      <c r="P272" s="28">
        <f>(Fuentes!P1682/Fuentes!P$47)*100000</f>
        <v>6.0044590003657836</v>
      </c>
      <c r="Q272" s="28">
        <f>(Fuentes!Q1682/Fuentes!Q$47)*100000</f>
        <v>6.473754373188684</v>
      </c>
      <c r="R272" s="28">
        <f>(Fuentes!R1682/Fuentes!R$47)*100000</f>
        <v>6.0841512619336795</v>
      </c>
      <c r="S272" s="28">
        <f>(Fuentes!S1682/Fuentes!S$47)*100000</f>
        <v>5.1938789114611321</v>
      </c>
      <c r="T272" s="28">
        <f>(Fuentes!T1682/Fuentes!T$47)*100000</f>
        <v>1.1925260551783827</v>
      </c>
      <c r="U272" s="28">
        <f>(Fuentes!U1682/Fuentes!U$47)*100000</f>
        <v>3.9972874407427118E-2</v>
      </c>
      <c r="V272" s="28">
        <f>(Fuentes!V1682/Fuentes!V$47)*100000</f>
        <v>9.8853321244231157E-2</v>
      </c>
    </row>
    <row r="273" spans="1:22" s="14" customFormat="1" ht="12.75" x14ac:dyDescent="0.2">
      <c r="A273" s="28" t="s">
        <v>3198</v>
      </c>
      <c r="B273" s="29" t="s">
        <v>3259</v>
      </c>
      <c r="C273" s="29">
        <f>(Fuentes!C1683/Fuentes!C$47)*100000</f>
        <v>4.3901001691738006</v>
      </c>
      <c r="D273" s="30">
        <f>(Fuentes!D1683/Fuentes!D$47)*100000</f>
        <v>4.0471564552271939</v>
      </c>
      <c r="E273" s="35">
        <f>(Fuentes!E1683/Fuentes!E$47)*100000</f>
        <v>5.0964205476737829</v>
      </c>
      <c r="F273" s="28">
        <f>(Fuentes!F1683/Fuentes!F$47)*100000</f>
        <v>4.2090786400271138</v>
      </c>
      <c r="G273" s="28">
        <f>(Fuentes!G1683/Fuentes!G$47)*100000</f>
        <v>7.6352002481801362</v>
      </c>
      <c r="H273" s="36">
        <f>(Fuentes!H1683/Fuentes!H$47)*100000</f>
        <v>7.5203167168337428</v>
      </c>
      <c r="I273" s="28">
        <f>(Fuentes!I1683/Fuentes!I$47)*100000</f>
        <v>6.8946884255242775</v>
      </c>
      <c r="J273" s="28">
        <f>(Fuentes!J1683/Fuentes!J$47)*100000</f>
        <v>10.160377293284705</v>
      </c>
      <c r="K273" s="28">
        <f>(Fuentes!K1683/Fuentes!K$47)*100000</f>
        <v>13.373931958702025</v>
      </c>
      <c r="L273" s="28">
        <f>(Fuentes!L1683/Fuentes!L$47)*100000</f>
        <v>16.109771986314747</v>
      </c>
      <c r="M273" s="28">
        <f>(Fuentes!M1683/Fuentes!M$47)*100000</f>
        <v>12.527862362904823</v>
      </c>
      <c r="N273" s="28">
        <f>(Fuentes!N1683/Fuentes!N$47)*100000</f>
        <v>15.286967076620151</v>
      </c>
      <c r="O273" s="28">
        <f>(Fuentes!O1683/Fuentes!O$47)*100000</f>
        <v>17.152249427237386</v>
      </c>
      <c r="P273" s="28">
        <f>(Fuentes!P1683/Fuentes!P$47)*100000</f>
        <v>21.111083764536943</v>
      </c>
      <c r="Q273" s="28">
        <f>(Fuentes!Q1683/Fuentes!Q$47)*100000</f>
        <v>19.442213780967958</v>
      </c>
      <c r="R273" s="28">
        <f>(Fuentes!R1683/Fuentes!R$47)*100000</f>
        <v>19.763144405260764</v>
      </c>
      <c r="S273" s="28">
        <f>(Fuentes!S1683/Fuentes!S$47)*100000</f>
        <v>22.411383019533073</v>
      </c>
      <c r="T273" s="28">
        <f>(Fuentes!T1683/Fuentes!T$47)*100000</f>
        <v>42.829876456321912</v>
      </c>
      <c r="U273" s="28">
        <f>(Fuentes!U1683/Fuentes!U$47)*100000</f>
        <v>80.005708126465379</v>
      </c>
      <c r="V273" s="28">
        <f>(Fuentes!V1683/Fuentes!V$47)*100000</f>
        <v>81.257430062758019</v>
      </c>
    </row>
    <row r="274" spans="1:22" s="14" customFormat="1" ht="12.75" x14ac:dyDescent="0.2">
      <c r="A274" s="28" t="s">
        <v>3198</v>
      </c>
      <c r="B274" s="29" t="s">
        <v>3260</v>
      </c>
      <c r="C274" s="29">
        <f>(Fuentes!C1684/Fuentes!C$47)*100000</f>
        <v>0</v>
      </c>
      <c r="D274" s="30">
        <f>(Fuentes!D1684/Fuentes!D$47)*100000</f>
        <v>0</v>
      </c>
      <c r="E274" s="35">
        <f>(Fuentes!E1684/Fuentes!E$47)*100000</f>
        <v>0</v>
      </c>
      <c r="F274" s="28">
        <f>(Fuentes!F1684/Fuentes!F$47)*100000</f>
        <v>0</v>
      </c>
      <c r="G274" s="28">
        <f>(Fuentes!G1684/Fuentes!G$47)*100000</f>
        <v>1.5896631431542241</v>
      </c>
      <c r="H274" s="28">
        <f>(Fuentes!H1684/Fuentes!H$47)*100000</f>
        <v>1.0675528462382284</v>
      </c>
      <c r="I274" s="28">
        <f>(Fuentes!I1684/Fuentes!I$47)*100000</f>
        <v>1.1452194333921679</v>
      </c>
      <c r="J274" s="28">
        <f>(Fuentes!J1684/Fuentes!J$47)*100000</f>
        <v>2.280901025023097</v>
      </c>
      <c r="K274" s="28">
        <f>(Fuentes!K1684/Fuentes!K$47)*100000</f>
        <v>1.3169576461879753</v>
      </c>
      <c r="L274" s="28">
        <f>(Fuentes!L1684/Fuentes!L$47)*100000</f>
        <v>1.6781012485744529</v>
      </c>
      <c r="M274" s="28">
        <f>(Fuentes!M1684/Fuentes!M$47)*100000</f>
        <v>2.2938339537713057</v>
      </c>
      <c r="N274" s="36">
        <f>(Fuentes!N1684/Fuentes!N$47)*100000</f>
        <v>2.0251964930565158</v>
      </c>
      <c r="O274" s="28">
        <f>(Fuentes!O1684/Fuentes!O$47)*100000</f>
        <v>2.0419344556234984</v>
      </c>
      <c r="P274" s="28">
        <f>(Fuentes!P1684/Fuentes!P$47)*100000</f>
        <v>1.1881614983055968</v>
      </c>
      <c r="Q274" s="28">
        <f>(Fuentes!Q1684/Fuentes!Q$47)*100000</f>
        <v>0</v>
      </c>
      <c r="R274" s="28">
        <f>(Fuentes!R1684/Fuentes!R$47)*100000</f>
        <v>2.069439204739347E-2</v>
      </c>
      <c r="S274" s="28">
        <f>(Fuentes!S1684/Fuentes!S$47)*100000</f>
        <v>2.0448342171106821E-2</v>
      </c>
      <c r="T274" s="28">
        <f>(Fuentes!T1684/Fuentes!T$47)*100000</f>
        <v>6.0636918059917756E-2</v>
      </c>
      <c r="U274" s="28">
        <f>(Fuentes!U1684/Fuentes!U$47)*100000</f>
        <v>0</v>
      </c>
      <c r="V274" s="28">
        <f>(Fuentes!V1684/Fuentes!V$47)*100000</f>
        <v>1.9770664248846232E-2</v>
      </c>
    </row>
    <row r="275" spans="1:22" s="14" customFormat="1" ht="12.75" x14ac:dyDescent="0.2">
      <c r="A275" s="28" t="s">
        <v>3198</v>
      </c>
      <c r="B275" s="29" t="s">
        <v>3261</v>
      </c>
      <c r="C275" s="29">
        <f>(Fuentes!C1685/Fuentes!C$47)*100000</f>
        <v>0</v>
      </c>
      <c r="D275" s="30">
        <f>(Fuentes!D1685/Fuentes!D$47)*100000</f>
        <v>0</v>
      </c>
      <c r="E275" s="35">
        <f>(Fuentes!E1685/Fuentes!E$47)*100000</f>
        <v>0</v>
      </c>
      <c r="F275" s="28">
        <f>(Fuentes!F1685/Fuentes!F$47)*100000</f>
        <v>0</v>
      </c>
      <c r="G275" s="28">
        <f>(Fuentes!G1685/Fuentes!G$47)*100000</f>
        <v>0.21677224679375781</v>
      </c>
      <c r="H275" s="36">
        <f>(Fuentes!H1685/Fuentes!H$47)*100000</f>
        <v>0.2609573624137892</v>
      </c>
      <c r="I275" s="28">
        <f>(Fuentes!I1685/Fuentes!I$47)*100000</f>
        <v>0.44406467825410589</v>
      </c>
      <c r="J275" s="28">
        <f>(Fuentes!J1685/Fuentes!J$47)*100000</f>
        <v>0.46078808586325193</v>
      </c>
      <c r="K275" s="28">
        <f>(Fuentes!K1685/Fuentes!K$47)*100000</f>
        <v>0.68118498940757333</v>
      </c>
      <c r="L275" s="28">
        <f>(Fuentes!L1685/Fuentes!L$47)*100000</f>
        <v>0.22374683314326041</v>
      </c>
      <c r="M275" s="28">
        <f>(Fuentes!M1685/Fuentes!M$47)*100000</f>
        <v>0.46317800989612901</v>
      </c>
      <c r="N275" s="28">
        <f>(Fuentes!N1685/Fuentes!N$47)*100000</f>
        <v>0.26131567652342141</v>
      </c>
      <c r="O275" s="28">
        <f>(Fuentes!O1685/Fuentes!O$47)*100000</f>
        <v>8.5976187605199927E-2</v>
      </c>
      <c r="P275" s="28">
        <f>(Fuentes!P1685/Fuentes!P$47)*100000</f>
        <v>0.10608584806299971</v>
      </c>
      <c r="Q275" s="28">
        <f>(Fuentes!Q1685/Fuentes!Q$47)*100000</f>
        <v>0</v>
      </c>
      <c r="R275" s="28">
        <f>(Fuentes!R1685/Fuentes!R$47)*100000</f>
        <v>0</v>
      </c>
      <c r="S275" s="28">
        <f>(Fuentes!S1685/Fuentes!S$47)*100000</f>
        <v>0</v>
      </c>
      <c r="T275" s="28">
        <f>(Fuentes!T1685/Fuentes!T$47)*100000</f>
        <v>4.0424612039945178E-2</v>
      </c>
      <c r="U275" s="28">
        <f>(Fuentes!U1685/Fuentes!U$47)*100000</f>
        <v>1.9986437203713559E-2</v>
      </c>
      <c r="V275" s="28">
        <f>(Fuentes!V1685/Fuentes!V$47)*100000</f>
        <v>3.9541328497692464E-2</v>
      </c>
    </row>
    <row r="276" spans="1:22" s="14" customFormat="1" ht="12.75" x14ac:dyDescent="0.2">
      <c r="A276" s="28" t="s">
        <v>3198</v>
      </c>
      <c r="B276" s="29" t="s">
        <v>3262</v>
      </c>
      <c r="C276" s="29">
        <f>(Fuentes!C1686/Fuentes!C$47)*100000</f>
        <v>0</v>
      </c>
      <c r="D276" s="30">
        <f>(Fuentes!D1686/Fuentes!D$47)*100000</f>
        <v>0</v>
      </c>
      <c r="E276" s="35">
        <f>(Fuentes!E1686/Fuentes!E$47)*100000</f>
        <v>0</v>
      </c>
      <c r="F276" s="28">
        <f>(Fuentes!F1686/Fuentes!F$47)*100000</f>
        <v>0</v>
      </c>
      <c r="G276" s="28">
        <f>(Fuentes!G1686/Fuentes!G$47)*100000</f>
        <v>0</v>
      </c>
      <c r="H276" s="28">
        <f>(Fuentes!H1686/Fuentes!H$47)*100000</f>
        <v>0</v>
      </c>
      <c r="I276" s="28">
        <f>(Fuentes!I1686/Fuentes!I$47)*100000</f>
        <v>4.6743650342537468E-2</v>
      </c>
      <c r="J276" s="28">
        <f>(Fuentes!J1686/Fuentes!J$47)*100000</f>
        <v>0</v>
      </c>
      <c r="K276" s="28">
        <f>(Fuentes!K1686/Fuentes!K$47)*100000</f>
        <v>6.8118498940757347E-2</v>
      </c>
      <c r="L276" s="28">
        <f>(Fuentes!L1686/Fuentes!L$47)*100000</f>
        <v>0</v>
      </c>
      <c r="M276" s="28">
        <f>(Fuentes!M1686/Fuentes!M$47)*100000</f>
        <v>4.4112191418678955E-2</v>
      </c>
      <c r="N276" s="36">
        <f>(Fuentes!N1686/Fuentes!N$47)*100000</f>
        <v>0</v>
      </c>
      <c r="O276" s="28">
        <f>(Fuentes!O1686/Fuentes!O$47)*100000</f>
        <v>2.1494046901299982E-2</v>
      </c>
      <c r="P276" s="28">
        <f>(Fuentes!P1686/Fuentes!P$47)*100000</f>
        <v>2.1217169612599944E-2</v>
      </c>
      <c r="Q276" s="28">
        <f>(Fuentes!Q1686/Fuentes!Q$47)*100000</f>
        <v>2.095066140190513E-2</v>
      </c>
      <c r="R276" s="28">
        <f>(Fuentes!R1686/Fuentes!R$47)*100000</f>
        <v>4.138878409478694E-2</v>
      </c>
      <c r="S276" s="28">
        <f>(Fuentes!S1686/Fuentes!S$47)*100000</f>
        <v>4.0896684342213642E-2</v>
      </c>
      <c r="T276" s="28">
        <f>(Fuentes!T1686/Fuentes!T$47)*100000</f>
        <v>8.0849224079890356E-2</v>
      </c>
      <c r="U276" s="28">
        <f>(Fuentes!U1686/Fuentes!U$47)*100000</f>
        <v>7.9945748814854237E-2</v>
      </c>
      <c r="V276" s="28">
        <f>(Fuentes!V1686/Fuentes!V$47)*100000</f>
        <v>1.9770664248846232E-2</v>
      </c>
    </row>
    <row r="277" spans="1:22" s="14" customFormat="1" ht="12.75" x14ac:dyDescent="0.2">
      <c r="A277" s="28" t="s">
        <v>3198</v>
      </c>
      <c r="B277" s="29" t="s">
        <v>3263</v>
      </c>
      <c r="C277" s="29">
        <f>(Fuentes!C1687/Fuentes!C$47)*100000</f>
        <v>0</v>
      </c>
      <c r="D277" s="30">
        <f>(Fuentes!D1687/Fuentes!D$47)*100000</f>
        <v>0</v>
      </c>
      <c r="E277" s="35">
        <f>(Fuentes!E1687/Fuentes!E$47)*100000</f>
        <v>0</v>
      </c>
      <c r="F277" s="28">
        <f>(Fuentes!F1687/Fuentes!F$47)*100000</f>
        <v>0</v>
      </c>
      <c r="G277" s="28">
        <f>(Fuentes!G1687/Fuentes!G$47)*100000</f>
        <v>0</v>
      </c>
      <c r="H277" s="36">
        <f>(Fuentes!H1687/Fuentes!H$47)*100000</f>
        <v>0</v>
      </c>
      <c r="I277" s="28">
        <f>(Fuentes!I1687/Fuentes!I$47)*100000</f>
        <v>0</v>
      </c>
      <c r="J277" s="28">
        <f>(Fuentes!J1687/Fuentes!J$47)*100000</f>
        <v>0</v>
      </c>
      <c r="K277" s="28">
        <f>(Fuentes!K1687/Fuentes!K$47)*100000</f>
        <v>0</v>
      </c>
      <c r="L277" s="28">
        <f>(Fuentes!L1687/Fuentes!L$47)*100000</f>
        <v>0</v>
      </c>
      <c r="M277" s="28">
        <f>(Fuentes!M1687/Fuentes!M$47)*100000</f>
        <v>0</v>
      </c>
      <c r="N277" s="28">
        <f>(Fuentes!N1687/Fuentes!N$47)*100000</f>
        <v>0</v>
      </c>
      <c r="O277" s="28">
        <f>(Fuentes!O1687/Fuentes!O$47)*100000</f>
        <v>0</v>
      </c>
      <c r="P277" s="28">
        <f>(Fuentes!P1687/Fuentes!P$47)*100000</f>
        <v>6.3651508837799825E-2</v>
      </c>
      <c r="Q277" s="28">
        <f>(Fuentes!Q1687/Fuentes!Q$47)*100000</f>
        <v>1.298941006918118</v>
      </c>
      <c r="R277" s="28">
        <f>(Fuentes!R1687/Fuentes!R$47)*100000</f>
        <v>1.6969401478862642</v>
      </c>
      <c r="S277" s="28">
        <f>(Fuentes!S1687/Fuentes!S$47)*100000</f>
        <v>1.9630408484262545</v>
      </c>
      <c r="T277" s="28">
        <f>(Fuentes!T1687/Fuentes!T$47)*100000</f>
        <v>3.7594889197149017</v>
      </c>
      <c r="U277" s="28">
        <f>(Fuentes!U1687/Fuentes!U$47)*100000</f>
        <v>4.9966093009283901</v>
      </c>
      <c r="V277" s="28">
        <f>(Fuentes!V1687/Fuentes!V$47)*100000</f>
        <v>4.5077114487369405</v>
      </c>
    </row>
    <row r="278" spans="1:22" s="14" customFormat="1" ht="12.75" x14ac:dyDescent="0.2">
      <c r="A278" s="28" t="s">
        <v>3198</v>
      </c>
      <c r="B278" s="29" t="s">
        <v>3264</v>
      </c>
      <c r="C278" s="29">
        <f>(Fuentes!C1688/Fuentes!C$47)*100000</f>
        <v>0</v>
      </c>
      <c r="D278" s="30">
        <f>(Fuentes!D1688/Fuentes!D$47)*100000</f>
        <v>0</v>
      </c>
      <c r="E278" s="35">
        <f>(Fuentes!E1688/Fuentes!E$47)*100000</f>
        <v>0</v>
      </c>
      <c r="F278" s="28">
        <f>(Fuentes!F1688/Fuentes!F$47)*100000</f>
        <v>0</v>
      </c>
      <c r="G278" s="28">
        <f>(Fuentes!G1688/Fuentes!G$47)*100000</f>
        <v>0</v>
      </c>
      <c r="H278" s="28">
        <f>(Fuentes!H1688/Fuentes!H$47)*100000</f>
        <v>0</v>
      </c>
      <c r="I278" s="28">
        <f>(Fuentes!I1688/Fuentes!I$47)*100000</f>
        <v>0</v>
      </c>
      <c r="J278" s="28">
        <f>(Fuentes!J1688/Fuentes!J$47)*100000</f>
        <v>0</v>
      </c>
      <c r="K278" s="28">
        <f>(Fuentes!K1688/Fuentes!K$47)*100000</f>
        <v>4.5412332627171564E-2</v>
      </c>
      <c r="L278" s="28">
        <f>(Fuentes!L1688/Fuentes!L$47)*100000</f>
        <v>0.15662278320028228</v>
      </c>
      <c r="M278" s="28">
        <f>(Fuentes!M1688/Fuentes!M$47)*100000</f>
        <v>0.19850486138405529</v>
      </c>
      <c r="N278" s="36">
        <f>(Fuentes!N1688/Fuentes!N$47)*100000</f>
        <v>0.19598675739256605</v>
      </c>
      <c r="O278" s="28">
        <f>(Fuentes!O1688/Fuentes!O$47)*100000</f>
        <v>6.4482140703899946E-2</v>
      </c>
      <c r="P278" s="28">
        <f>(Fuentes!P1688/Fuentes!P$47)*100000</f>
        <v>0.16973735690079955</v>
      </c>
      <c r="Q278" s="28">
        <f>(Fuentes!Q1688/Fuentes!Q$47)*100000</f>
        <v>0.2304572754209564</v>
      </c>
      <c r="R278" s="28">
        <f>(Fuentes!R1688/Fuentes!R$47)*100000</f>
        <v>0.39319344890047592</v>
      </c>
      <c r="S278" s="28">
        <f>(Fuentes!S1688/Fuentes!S$47)*100000</f>
        <v>0.3885185012510296</v>
      </c>
      <c r="T278" s="28">
        <f>(Fuentes!T1688/Fuentes!T$47)*100000</f>
        <v>0.24254767223967102</v>
      </c>
      <c r="U278" s="28">
        <f>(Fuentes!U1688/Fuentes!U$47)*100000</f>
        <v>0.23983724644456272</v>
      </c>
      <c r="V278" s="28">
        <f>(Fuentes!V1688/Fuentes!V$47)*100000</f>
        <v>0.2965599637326935</v>
      </c>
    </row>
    <row r="279" spans="1:22" s="14" customFormat="1" ht="12.75" x14ac:dyDescent="0.2">
      <c r="A279" s="28" t="s">
        <v>3198</v>
      </c>
      <c r="B279" s="29" t="s">
        <v>3265</v>
      </c>
      <c r="C279" s="29">
        <f>(Fuentes!C1689/Fuentes!C$47)*100000</f>
        <v>0.309889423706386</v>
      </c>
      <c r="D279" s="30">
        <f>(Fuentes!D1689/Fuentes!D$47)*100000</f>
        <v>0.10117891138067985</v>
      </c>
      <c r="E279" s="35">
        <f>(Fuentes!E1689/Fuentes!E$47)*100000</f>
        <v>0.19888470429946467</v>
      </c>
      <c r="F279" s="28">
        <f>(Fuentes!F1689/Fuentes!F$47)*100000</f>
        <v>0.17129971209412673</v>
      </c>
      <c r="G279" s="28">
        <f>(Fuentes!G1689/Fuentes!G$47)*100000</f>
        <v>0.43354449358751562</v>
      </c>
      <c r="H279" s="36">
        <f>(Fuentes!H1689/Fuentes!H$47)*100000</f>
        <v>0.23723396583071743</v>
      </c>
      <c r="I279" s="28">
        <f>(Fuentes!I1689/Fuentes!I$47)*100000</f>
        <v>0.25709007688395608</v>
      </c>
      <c r="J279" s="28">
        <f>(Fuentes!J1689/Fuentes!J$47)*100000</f>
        <v>0.20735463863846335</v>
      </c>
      <c r="K279" s="28">
        <f>(Fuentes!K1689/Fuentes!K$47)*100000</f>
        <v>0.408710993644544</v>
      </c>
      <c r="L279" s="28">
        <f>(Fuentes!L1689/Fuentes!L$47)*100000</f>
        <v>0.91736201588736765</v>
      </c>
      <c r="M279" s="28">
        <f>(Fuentes!M1689/Fuentes!M$47)*100000</f>
        <v>0.94841211550159765</v>
      </c>
      <c r="N279" s="28">
        <f>(Fuentes!N1689/Fuentes!N$47)*100000</f>
        <v>0.69684180406245699</v>
      </c>
      <c r="O279" s="28">
        <f>(Fuentes!O1689/Fuentes!O$47)*100000</f>
        <v>0.79527973534809937</v>
      </c>
      <c r="P279" s="28">
        <f>(Fuentes!P1689/Fuentes!P$47)*100000</f>
        <v>1.2942473463685966</v>
      </c>
      <c r="Q279" s="28">
        <f>(Fuentes!Q1689/Fuentes!Q$47)*100000</f>
        <v>1.298941006918118</v>
      </c>
      <c r="R279" s="28">
        <f>(Fuentes!R1689/Fuentes!R$47)*100000</f>
        <v>1.1381915626066408</v>
      </c>
      <c r="S279" s="28">
        <f>(Fuentes!S1689/Fuentes!S$47)*100000</f>
        <v>1.9630408484262545</v>
      </c>
      <c r="T279" s="28">
        <f>(Fuentes!T1689/Fuentes!T$47)*100000</f>
        <v>2.9307843728960252</v>
      </c>
      <c r="U279" s="28">
        <f>(Fuentes!U1689/Fuentes!U$47)*100000</f>
        <v>2.7381418969087576</v>
      </c>
      <c r="V279" s="28">
        <f>(Fuentes!V1689/Fuentes!V$47)*100000</f>
        <v>4.8438127409673273</v>
      </c>
    </row>
    <row r="280" spans="1:22" s="14" customFormat="1" ht="12.75" x14ac:dyDescent="0.2">
      <c r="A280" s="28" t="s">
        <v>3198</v>
      </c>
      <c r="B280" s="29" t="s">
        <v>3266</v>
      </c>
      <c r="C280" s="29">
        <f>(Fuentes!C1690/Fuentes!C$47)*100000</f>
        <v>31.221359438418386</v>
      </c>
      <c r="D280" s="30">
        <f>(Fuentes!D1690/Fuentes!D$47)*100000</f>
        <v>33.110798749327479</v>
      </c>
      <c r="E280" s="35">
        <f>(Fuentes!E1690/Fuentes!E$47)*100000</f>
        <v>33.387769734272631</v>
      </c>
      <c r="F280" s="28">
        <f>(Fuentes!F1690/Fuentes!F$47)*100000</f>
        <v>38.297721346758337</v>
      </c>
      <c r="G280" s="28">
        <f>(Fuentes!G1690/Fuentes!G$47)*100000</f>
        <v>40.223294682841733</v>
      </c>
      <c r="H280" s="28">
        <f>(Fuentes!H1690/Fuentes!H$47)*100000</f>
        <v>36.130732996018267</v>
      </c>
      <c r="I280" s="28">
        <f>(Fuentes!I1690/Fuentes!I$47)*100000</f>
        <v>30.640462799533314</v>
      </c>
      <c r="J280" s="28">
        <f>(Fuentes!J1690/Fuentes!J$47)*100000</f>
        <v>30.803683539958392</v>
      </c>
      <c r="K280" s="28">
        <f>(Fuentes!K1690/Fuentes!K$47)*100000</f>
        <v>30.812267687535901</v>
      </c>
      <c r="L280" s="28">
        <f>(Fuentes!L1690/Fuentes!L$47)*100000</f>
        <v>35.844242669550312</v>
      </c>
      <c r="M280" s="28">
        <f>(Fuentes!M1690/Fuentes!M$47)*100000</f>
        <v>35.576482379164574</v>
      </c>
      <c r="N280" s="36">
        <f>(Fuentes!N1690/Fuentes!N$47)*100000</f>
        <v>35.734918764577877</v>
      </c>
      <c r="O280" s="28">
        <f>(Fuentes!O1690/Fuentes!O$47)*100000</f>
        <v>30.73648706885897</v>
      </c>
      <c r="P280" s="28">
        <f>(Fuentes!P1690/Fuentes!P$47)*100000</f>
        <v>33.926254210547306</v>
      </c>
      <c r="Q280" s="28">
        <f>(Fuentes!Q1690/Fuentes!Q$47)*100000</f>
        <v>34.484788667535845</v>
      </c>
      <c r="R280" s="28">
        <f>(Fuentes!R1690/Fuentes!R$47)*100000</f>
        <v>32.014224497317699</v>
      </c>
      <c r="S280" s="28">
        <f>(Fuentes!S1690/Fuentes!S$47)*100000</f>
        <v>33.41259110758854</v>
      </c>
      <c r="T280" s="28">
        <f>(Fuentes!T1690/Fuentes!T$47)*100000</f>
        <v>34.987501720572546</v>
      </c>
      <c r="U280" s="28">
        <f>(Fuentes!U1690/Fuentes!U$47)*100000</f>
        <v>38.214067933500331</v>
      </c>
      <c r="V280" s="28">
        <f>(Fuentes!V1690/Fuentes!V$47)*100000</f>
        <v>41.281146951590934</v>
      </c>
    </row>
    <row r="281" spans="1:22" s="14" customFormat="1" ht="12.75" x14ac:dyDescent="0.2">
      <c r="A281" s="28" t="s">
        <v>3198</v>
      </c>
      <c r="B281" s="29" t="s">
        <v>3267</v>
      </c>
      <c r="C281" s="29">
        <f>(Fuentes!C1691/Fuentes!C$47)*100000</f>
        <v>0.154944711853193</v>
      </c>
      <c r="D281" s="30">
        <f>(Fuentes!D1691/Fuentes!D$47)*100000</f>
        <v>2.5294727845169961E-2</v>
      </c>
      <c r="E281" s="35">
        <f>(Fuentes!E1691/Fuentes!E$47)*100000</f>
        <v>0.12430294018716544</v>
      </c>
      <c r="F281" s="28">
        <f>(Fuentes!F1691/Fuentes!F$47)*100000</f>
        <v>0</v>
      </c>
      <c r="G281" s="28">
        <f>(Fuentes!G1691/Fuentes!G$47)*100000</f>
        <v>0</v>
      </c>
      <c r="H281" s="36">
        <f>(Fuentes!H1691/Fuentes!H$47)*100000</f>
        <v>0</v>
      </c>
      <c r="I281" s="28">
        <f>(Fuentes!I1691/Fuentes!I$47)*100000</f>
        <v>2.3371825171268734E-2</v>
      </c>
      <c r="J281" s="28">
        <f>(Fuentes!J1691/Fuentes!J$47)*100000</f>
        <v>0</v>
      </c>
      <c r="K281" s="28">
        <f>(Fuentes!K1691/Fuentes!K$47)*100000</f>
        <v>2.2706166313585782E-2</v>
      </c>
      <c r="L281" s="28">
        <f>(Fuentes!L1691/Fuentes!L$47)*100000</f>
        <v>0.38036961634354266</v>
      </c>
      <c r="M281" s="28">
        <f>(Fuentes!M1691/Fuentes!M$47)*100000</f>
        <v>2.2056095709339477E-2</v>
      </c>
      <c r="N281" s="28">
        <f>(Fuentes!N1691/Fuentes!N$47)*100000</f>
        <v>0</v>
      </c>
      <c r="O281" s="28">
        <f>(Fuentes!O1691/Fuentes!O$47)*100000</f>
        <v>0</v>
      </c>
      <c r="P281" s="28">
        <f>(Fuentes!P1691/Fuentes!P$47)*100000</f>
        <v>0</v>
      </c>
      <c r="Q281" s="28">
        <f>(Fuentes!Q1691/Fuentes!Q$47)*100000</f>
        <v>2.095066140190513E-2</v>
      </c>
      <c r="R281" s="28">
        <f>(Fuentes!R1691/Fuentes!R$47)*100000</f>
        <v>2.069439204739347E-2</v>
      </c>
      <c r="S281" s="28">
        <f>(Fuentes!S1691/Fuentes!S$47)*100000</f>
        <v>0</v>
      </c>
      <c r="T281" s="28">
        <f>(Fuentes!T1691/Fuentes!T$47)*100000</f>
        <v>0</v>
      </c>
      <c r="U281" s="28">
        <f>(Fuentes!U1691/Fuentes!U$47)*100000</f>
        <v>0</v>
      </c>
      <c r="V281" s="28">
        <f>(Fuentes!V1691/Fuentes!V$47)*100000</f>
        <v>0</v>
      </c>
    </row>
    <row r="282" spans="1:22" s="14" customFormat="1" ht="12.75" x14ac:dyDescent="0.2">
      <c r="A282" s="28" t="s">
        <v>3198</v>
      </c>
      <c r="B282" s="29" t="s">
        <v>3268</v>
      </c>
      <c r="C282" s="29">
        <f>(Fuentes!C1692/Fuentes!C$47)*100000</f>
        <v>3.4087836607702453</v>
      </c>
      <c r="D282" s="30">
        <f>(Fuentes!D1692/Fuentes!D$47)*100000</f>
        <v>3.6930302653948139</v>
      </c>
      <c r="E282" s="35">
        <f>(Fuentes!E1692/Fuentes!E$47)*100000</f>
        <v>3.5550640893529311</v>
      </c>
      <c r="F282" s="28">
        <f>(Fuentes!F1692/Fuentes!F$47)*100000</f>
        <v>3.2302231423463899</v>
      </c>
      <c r="G282" s="28">
        <f>(Fuentes!G1692/Fuentes!G$47)*100000</f>
        <v>2.7216959875216258</v>
      </c>
      <c r="H282" s="28">
        <f>(Fuentes!H1692/Fuentes!H$47)*100000</f>
        <v>2.4435098480563897</v>
      </c>
      <c r="I282" s="28">
        <f>(Fuentes!I1692/Fuentes!I$47)*100000</f>
        <v>2.0567206150716486</v>
      </c>
      <c r="J282" s="28">
        <f>(Fuentes!J1692/Fuentes!J$47)*100000</f>
        <v>2.2348222164367715</v>
      </c>
      <c r="K282" s="28">
        <f>(Fuentes!K1692/Fuentes!K$47)*100000</f>
        <v>1.4986069766966614</v>
      </c>
      <c r="L282" s="28">
        <f>(Fuentes!L1692/Fuentes!L$47)*100000</f>
        <v>1.8570987150890612</v>
      </c>
      <c r="M282" s="28">
        <f>(Fuentes!M1692/Fuentes!M$47)*100000</f>
        <v>1.433646221107066</v>
      </c>
      <c r="N282" s="36">
        <f>(Fuentes!N1692/Fuentes!N$47)*100000</f>
        <v>1.0670390124706373</v>
      </c>
      <c r="O282" s="28">
        <f>(Fuentes!O1692/Fuentes!O$47)*100000</f>
        <v>1.4615951892883987</v>
      </c>
      <c r="P282" s="28">
        <f>(Fuentes!P1692/Fuentes!P$47)*100000</f>
        <v>1.2093786679181966</v>
      </c>
      <c r="Q282" s="28">
        <f>(Fuentes!Q1692/Fuentes!Q$47)*100000</f>
        <v>0.71232248766477435</v>
      </c>
      <c r="R282" s="28">
        <f>(Fuentes!R1692/Fuentes!R$47)*100000</f>
        <v>0.74499811370616487</v>
      </c>
      <c r="S282" s="28">
        <f>(Fuentes!S1692/Fuentes!S$47)*100000</f>
        <v>0.32717347473770914</v>
      </c>
      <c r="T282" s="28">
        <f>(Fuentes!T1692/Fuentes!T$47)*100000</f>
        <v>0</v>
      </c>
      <c r="U282" s="28">
        <f>(Fuentes!U1692/Fuentes!U$47)*100000</f>
        <v>0</v>
      </c>
      <c r="V282" s="28">
        <f>(Fuentes!V1692/Fuentes!V$47)*100000</f>
        <v>0</v>
      </c>
    </row>
    <row r="283" spans="1:22" s="14" customFormat="1" ht="12.75" x14ac:dyDescent="0.2">
      <c r="A283" s="28" t="s">
        <v>3198</v>
      </c>
      <c r="B283" s="29" t="s">
        <v>3269</v>
      </c>
      <c r="C283" s="29">
        <f>(Fuentes!C1693/Fuentes!C$47)*100000</f>
        <v>0</v>
      </c>
      <c r="D283" s="30">
        <f>(Fuentes!D1693/Fuentes!D$47)*100000</f>
        <v>0</v>
      </c>
      <c r="E283" s="35">
        <f>(Fuentes!E1693/Fuentes!E$47)*100000</f>
        <v>0</v>
      </c>
      <c r="F283" s="28">
        <f>(Fuentes!F1693/Fuentes!F$47)*100000</f>
        <v>0</v>
      </c>
      <c r="G283" s="28">
        <f>(Fuentes!G1693/Fuentes!G$47)*100000</f>
        <v>0</v>
      </c>
      <c r="H283" s="36">
        <f>(Fuentes!H1693/Fuentes!H$47)*100000</f>
        <v>0</v>
      </c>
      <c r="I283" s="28">
        <f>(Fuentes!I1693/Fuentes!I$47)*100000</f>
        <v>0</v>
      </c>
      <c r="J283" s="28">
        <f>(Fuentes!J1693/Fuentes!J$47)*100000</f>
        <v>0</v>
      </c>
      <c r="K283" s="28">
        <f>(Fuentes!K1693/Fuentes!K$47)*100000</f>
        <v>0</v>
      </c>
      <c r="L283" s="28">
        <f>(Fuentes!L1693/Fuentes!L$47)*100000</f>
        <v>1.4767290987455186</v>
      </c>
      <c r="M283" s="28">
        <f>(Fuentes!M1693/Fuentes!M$47)*100000</f>
        <v>1.433646221107066</v>
      </c>
      <c r="N283" s="28">
        <f>(Fuentes!N1693/Fuentes!N$47)*100000</f>
        <v>1.415459914501866</v>
      </c>
      <c r="O283" s="28">
        <f>(Fuentes!O1693/Fuentes!O$47)*100000</f>
        <v>1.8914761273143983</v>
      </c>
      <c r="P283" s="28">
        <f>(Fuentes!P1693/Fuentes!P$47)*100000</f>
        <v>2.206585639710394</v>
      </c>
      <c r="Q283" s="28">
        <f>(Fuentes!Q1693/Fuentes!Q$47)*100000</f>
        <v>1.6341515893486001</v>
      </c>
      <c r="R283" s="28">
        <f>(Fuentes!R1693/Fuentes!R$47)*100000</f>
        <v>1.1588859546540342</v>
      </c>
      <c r="S283" s="28">
        <f>(Fuentes!S1693/Fuentes!S$47)*100000</f>
        <v>0.67479529164652496</v>
      </c>
      <c r="T283" s="28">
        <f>(Fuentes!T1693/Fuentes!T$47)*100000</f>
        <v>0.24254767223967102</v>
      </c>
      <c r="U283" s="28">
        <f>(Fuentes!U1693/Fuentes!U$47)*100000</f>
        <v>1.9986437203713559E-2</v>
      </c>
      <c r="V283" s="28">
        <f>(Fuentes!V1693/Fuentes!V$47)*100000</f>
        <v>1.9770664248846232E-2</v>
      </c>
    </row>
    <row r="284" spans="1:22" s="14" customFormat="1" ht="12.75" x14ac:dyDescent="0.2">
      <c r="A284" s="28" t="s">
        <v>3198</v>
      </c>
      <c r="B284" s="29" t="s">
        <v>3270</v>
      </c>
      <c r="C284" s="29">
        <f>(Fuentes!C1694/Fuentes!C$47)*100000</f>
        <v>3.1505424743482568</v>
      </c>
      <c r="D284" s="30">
        <f>(Fuentes!D1694/Fuentes!D$47)*100000</f>
        <v>3.4906724426334548</v>
      </c>
      <c r="E284" s="35">
        <f>(Fuentes!E1694/Fuentes!E$47)*100000</f>
        <v>4.5246270228128207</v>
      </c>
      <c r="F284" s="28">
        <f>(Fuentes!F1694/Fuentes!F$47)*100000</f>
        <v>3.7685936660707879</v>
      </c>
      <c r="G284" s="28">
        <f>(Fuentes!G1694/Fuentes!G$47)*100000</f>
        <v>5.3711345594453332</v>
      </c>
      <c r="H284" s="28">
        <f>(Fuentes!H1694/Fuentes!H$47)*100000</f>
        <v>4.8158495063635636</v>
      </c>
      <c r="I284" s="28">
        <f>(Fuentes!I1694/Fuentes!I$47)*100000</f>
        <v>4.4172749573697905</v>
      </c>
      <c r="J284" s="28">
        <f>(Fuentes!J1694/Fuentes!J$47)*100000</f>
        <v>5.3451417960137224</v>
      </c>
      <c r="K284" s="28">
        <f>(Fuentes!K1694/Fuentes!K$47)*100000</f>
        <v>6.335020401490433</v>
      </c>
      <c r="L284" s="28">
        <f>(Fuentes!L1694/Fuentes!L$47)*100000</f>
        <v>9.7329872417318271</v>
      </c>
      <c r="M284" s="28">
        <f>(Fuentes!M1694/Fuentes!M$47)*100000</f>
        <v>12.836647702835576</v>
      </c>
      <c r="N284" s="36">
        <f>(Fuentes!N1694/Fuentes!N$47)*100000</f>
        <v>15.918479961551753</v>
      </c>
      <c r="O284" s="28">
        <f>(Fuentes!O1694/Fuentes!O$47)*100000</f>
        <v>18.635338663427085</v>
      </c>
      <c r="P284" s="28">
        <f>(Fuentes!P1694/Fuentes!P$47)*100000</f>
        <v>19.965356605456545</v>
      </c>
      <c r="Q284" s="28">
        <f>(Fuentes!Q1694/Fuentes!Q$47)*100000</f>
        <v>22.01914513340229</v>
      </c>
      <c r="R284" s="28">
        <f>(Fuentes!R1694/Fuentes!R$47)*100000</f>
        <v>25.992156411526196</v>
      </c>
      <c r="S284" s="28">
        <f>(Fuentes!S1694/Fuentes!S$47)*100000</f>
        <v>29.977269622842599</v>
      </c>
      <c r="T284" s="28">
        <f>(Fuentes!T1694/Fuentes!T$47)*100000</f>
        <v>30.338671335978855</v>
      </c>
      <c r="U284" s="28">
        <f>(Fuentes!U1694/Fuentes!U$47)*100000</f>
        <v>30.479316735663179</v>
      </c>
      <c r="V284" s="28">
        <f>(Fuentes!V1694/Fuentes!V$47)*100000</f>
        <v>39.778576468678622</v>
      </c>
    </row>
    <row r="285" spans="1:22" s="14" customFormat="1" ht="12.75" x14ac:dyDescent="0.2">
      <c r="A285" s="28" t="s">
        <v>3198</v>
      </c>
      <c r="B285" s="29" t="s">
        <v>3271</v>
      </c>
      <c r="C285" s="29">
        <f>(Fuentes!C1695/Fuentes!C$47)*100000</f>
        <v>7.7472355926596501E-2</v>
      </c>
      <c r="D285" s="30">
        <f>(Fuentes!D1695/Fuentes!D$47)*100000</f>
        <v>0</v>
      </c>
      <c r="E285" s="35">
        <f>(Fuentes!E1695/Fuentes!E$47)*100000</f>
        <v>0</v>
      </c>
      <c r="F285" s="28">
        <f>(Fuentes!F1695/Fuentes!F$47)*100000</f>
        <v>0</v>
      </c>
      <c r="G285" s="28">
        <f>(Fuentes!G1695/Fuentes!G$47)*100000</f>
        <v>9.6343220797225709E-2</v>
      </c>
      <c r="H285" s="36">
        <f>(Fuentes!H1695/Fuentes!H$47)*100000</f>
        <v>0</v>
      </c>
      <c r="I285" s="28">
        <f>(Fuentes!I1695/Fuentes!I$47)*100000</f>
        <v>0</v>
      </c>
      <c r="J285" s="28">
        <f>(Fuentes!J1695/Fuentes!J$47)*100000</f>
        <v>0</v>
      </c>
      <c r="K285" s="28">
        <f>(Fuentes!K1695/Fuentes!K$47)*100000</f>
        <v>0</v>
      </c>
      <c r="L285" s="28">
        <f>(Fuentes!L1695/Fuentes!L$47)*100000</f>
        <v>0</v>
      </c>
      <c r="M285" s="28">
        <f>(Fuentes!M1695/Fuentes!M$47)*100000</f>
        <v>2.2056095709339477E-2</v>
      </c>
      <c r="N285" s="28">
        <f>(Fuentes!N1695/Fuentes!N$47)*100000</f>
        <v>0</v>
      </c>
      <c r="O285" s="28">
        <f>(Fuentes!O1695/Fuentes!O$47)*100000</f>
        <v>0</v>
      </c>
      <c r="P285" s="28">
        <f>(Fuentes!P1695/Fuentes!P$47)*100000</f>
        <v>0</v>
      </c>
      <c r="Q285" s="28">
        <f>(Fuentes!Q1695/Fuentes!Q$47)*100000</f>
        <v>0</v>
      </c>
      <c r="R285" s="28">
        <f>(Fuentes!R1695/Fuentes!R$47)*100000</f>
        <v>0</v>
      </c>
      <c r="S285" s="28">
        <f>(Fuentes!S1695/Fuentes!S$47)*100000</f>
        <v>0</v>
      </c>
      <c r="T285" s="28">
        <f>(Fuentes!T1695/Fuentes!T$47)*100000</f>
        <v>0</v>
      </c>
      <c r="U285" s="28">
        <f>(Fuentes!U1695/Fuentes!U$47)*100000</f>
        <v>0</v>
      </c>
      <c r="V285" s="28">
        <f>(Fuentes!V1695/Fuentes!V$47)*100000</f>
        <v>0</v>
      </c>
    </row>
    <row r="286" spans="1:22" s="14" customFormat="1" ht="12.75" x14ac:dyDescent="0.2">
      <c r="A286" s="28" t="s">
        <v>3198</v>
      </c>
      <c r="B286" s="29" t="s">
        <v>3272</v>
      </c>
      <c r="C286" s="29">
        <f>(Fuentes!C1696/Fuentes!C$47)*100000</f>
        <v>0</v>
      </c>
      <c r="D286" s="30">
        <f>(Fuentes!D1696/Fuentes!D$47)*100000</f>
        <v>0</v>
      </c>
      <c r="E286" s="35">
        <f>(Fuentes!E1696/Fuentes!E$47)*100000</f>
        <v>0</v>
      </c>
      <c r="F286" s="28">
        <f>(Fuentes!F1696/Fuentes!F$47)*100000</f>
        <v>0</v>
      </c>
      <c r="G286" s="28">
        <f>(Fuentes!G1696/Fuentes!G$47)*100000</f>
        <v>0</v>
      </c>
      <c r="H286" s="28">
        <f>(Fuentes!H1696/Fuentes!H$47)*100000</f>
        <v>0.37957434532914786</v>
      </c>
      <c r="I286" s="28">
        <f>(Fuentes!I1696/Fuentes!I$47)*100000</f>
        <v>7.0115475513806202E-2</v>
      </c>
      <c r="J286" s="28">
        <f>(Fuentes!J1696/Fuentes!J$47)*100000</f>
        <v>0.25343344722478856</v>
      </c>
      <c r="K286" s="28">
        <f>(Fuentes!K1696/Fuentes!K$47)*100000</f>
        <v>0.43141715995812985</v>
      </c>
      <c r="L286" s="28">
        <f>(Fuentes!L1696/Fuentes!L$47)*100000</f>
        <v>0.58174176617247708</v>
      </c>
      <c r="M286" s="28">
        <f>(Fuentes!M1696/Fuentes!M$47)*100000</f>
        <v>0.37495362705877111</v>
      </c>
      <c r="N286" s="36">
        <f>(Fuentes!N1696/Fuentes!N$47)*100000</f>
        <v>0.67506549768550528</v>
      </c>
      <c r="O286" s="28">
        <f>(Fuentes!O1696/Fuentes!O$47)*100000</f>
        <v>0.27942260971689975</v>
      </c>
      <c r="P286" s="28">
        <f>(Fuentes!P1696/Fuentes!P$47)*100000</f>
        <v>0.21217169612599943</v>
      </c>
      <c r="Q286" s="28">
        <f>(Fuentes!Q1696/Fuentes!Q$47)*100000</f>
        <v>0.12570396841143078</v>
      </c>
      <c r="R286" s="28">
        <f>(Fuentes!R1696/Fuentes!R$47)*100000</f>
        <v>0.18624952842654122</v>
      </c>
      <c r="S286" s="28">
        <f>(Fuentes!S1696/Fuentes!S$47)*100000</f>
        <v>0.16358673736885457</v>
      </c>
      <c r="T286" s="28">
        <f>(Fuentes!T1696/Fuentes!T$47)*100000</f>
        <v>0.28297228427961624</v>
      </c>
      <c r="U286" s="28">
        <f>(Fuentes!U1696/Fuentes!U$47)*100000</f>
        <v>0.17987793483342204</v>
      </c>
      <c r="V286" s="28">
        <f>(Fuentes!V1696/Fuentes!V$47)*100000</f>
        <v>0.1779359782396161</v>
      </c>
    </row>
    <row r="287" spans="1:22" s="14" customFormat="1" ht="12.75" x14ac:dyDescent="0.2">
      <c r="A287" s="28" t="s">
        <v>3198</v>
      </c>
      <c r="B287" s="29" t="s">
        <v>3273</v>
      </c>
      <c r="C287" s="29">
        <f>(Fuentes!C1697/Fuentes!C$47)*100000</f>
        <v>2.3499947964400936</v>
      </c>
      <c r="D287" s="30">
        <f>(Fuentes!D1697/Fuentes!D$47)*100000</f>
        <v>0.80943129104543876</v>
      </c>
      <c r="E287" s="35">
        <f>(Fuentes!E1697/Fuentes!E$47)*100000</f>
        <v>1.1684476377593549</v>
      </c>
      <c r="F287" s="28">
        <f>(Fuentes!F1697/Fuentes!F$47)*100000</f>
        <v>0.34259942418825345</v>
      </c>
      <c r="G287" s="28">
        <f>(Fuentes!G1697/Fuentes!G$47)*100000</f>
        <v>1.0356896235701762</v>
      </c>
      <c r="H287" s="36">
        <f>(Fuentes!H1697/Fuentes!H$47)*100000</f>
        <v>0.59308491457679358</v>
      </c>
      <c r="I287" s="28">
        <f>(Fuentes!I1697/Fuentes!I$47)*100000</f>
        <v>0.70115475513806202</v>
      </c>
      <c r="J287" s="28">
        <f>(Fuentes!J1697/Fuentes!J$47)*100000</f>
        <v>0.57598510732906483</v>
      </c>
      <c r="K287" s="28">
        <f>(Fuentes!K1697/Fuentes!K$47)*100000</f>
        <v>0.47682949258530138</v>
      </c>
      <c r="L287" s="28">
        <f>(Fuentes!L1697/Fuentes!L$47)*100000</f>
        <v>0.96211138251601969</v>
      </c>
      <c r="M287" s="28">
        <f>(Fuentes!M1697/Fuentes!M$47)*100000</f>
        <v>0.70579506269886327</v>
      </c>
      <c r="N287" s="28">
        <f>(Fuentes!N1697/Fuentes!N$47)*100000</f>
        <v>0.47907874029293923</v>
      </c>
      <c r="O287" s="28">
        <f>(Fuentes!O1697/Fuentes!O$47)*100000</f>
        <v>0.73079759464419936</v>
      </c>
      <c r="P287" s="28">
        <f>(Fuentes!P1697/Fuentes!P$47)*100000</f>
        <v>0.63651508837799831</v>
      </c>
      <c r="Q287" s="28">
        <f>(Fuentes!Q1697/Fuentes!Q$47)*100000</f>
        <v>0.33521058243048207</v>
      </c>
      <c r="R287" s="28">
        <f>(Fuentes!R1697/Fuentes!R$47)*100000</f>
        <v>0.31041588071090204</v>
      </c>
      <c r="S287" s="28">
        <f>(Fuentes!S1697/Fuentes!S$47)*100000</f>
        <v>0.81793368684427281</v>
      </c>
      <c r="T287" s="28">
        <f>(Fuentes!T1697/Fuentes!T$47)*100000</f>
        <v>0.76806762875895829</v>
      </c>
      <c r="U287" s="28">
        <f>(Fuentes!U1697/Fuentes!U$47)*100000</f>
        <v>0.8594167997596831</v>
      </c>
      <c r="V287" s="28">
        <f>(Fuentes!V1697/Fuentes!V$47)*100000</f>
        <v>0.81059723420269558</v>
      </c>
    </row>
    <row r="288" spans="1:22" s="14" customFormat="1" ht="12.75" x14ac:dyDescent="0.2">
      <c r="A288" s="28" t="s">
        <v>3198</v>
      </c>
      <c r="B288" s="29" t="s">
        <v>3274</v>
      </c>
      <c r="C288" s="29">
        <f>(Fuentes!C1698/Fuentes!C$47)*100000</f>
        <v>0</v>
      </c>
      <c r="D288" s="30">
        <f>(Fuentes!D1698/Fuentes!D$47)*100000</f>
        <v>1.5682731264005374</v>
      </c>
      <c r="E288" s="35">
        <f>(Fuentes!E1698/Fuentes!E$47)*100000</f>
        <v>2.2623135114064103</v>
      </c>
      <c r="F288" s="28">
        <f>(Fuentes!F1698/Fuentes!F$47)*100000</f>
        <v>1.7619398958253036</v>
      </c>
      <c r="G288" s="28">
        <f>(Fuentes!G1698/Fuentes!G$47)*100000</f>
        <v>2.8662108187174646</v>
      </c>
      <c r="H288" s="28">
        <f>(Fuentes!H1698/Fuentes!H$47)*100000</f>
        <v>2.490956641222533</v>
      </c>
      <c r="I288" s="28">
        <f>(Fuentes!I1698/Fuentes!I$47)*100000</f>
        <v>1.9164896640440363</v>
      </c>
      <c r="J288" s="28">
        <f>(Fuentes!J1698/Fuentes!J$47)*100000</f>
        <v>1.8661917477461702</v>
      </c>
      <c r="K288" s="28">
        <f>(Fuentes!K1698/Fuentes!K$47)*100000</f>
        <v>1.1580144819928748</v>
      </c>
      <c r="L288" s="28">
        <f>(Fuentes!L1698/Fuentes!L$47)*100000</f>
        <v>2.1032202315466479</v>
      </c>
      <c r="M288" s="28">
        <f>(Fuentes!M1698/Fuentes!M$47)*100000</f>
        <v>2.1394412838059291</v>
      </c>
      <c r="N288" s="36">
        <f>(Fuentes!N1698/Fuentes!N$47)*100000</f>
        <v>4.006840373359128</v>
      </c>
      <c r="O288" s="28">
        <f>(Fuentes!O1698/Fuentes!O$47)*100000</f>
        <v>2.9016963316754976</v>
      </c>
      <c r="P288" s="28">
        <f>(Fuentes!P1698/Fuentes!P$47)*100000</f>
        <v>5.4952469296633852</v>
      </c>
      <c r="Q288" s="28">
        <f>(Fuentes!Q1698/Fuentes!Q$47)*100000</f>
        <v>5.3214679960839026</v>
      </c>
      <c r="R288" s="28">
        <f>(Fuentes!R1698/Fuentes!R$47)*100000</f>
        <v>5.5667914607488429</v>
      </c>
      <c r="S288" s="28">
        <f>(Fuentes!S1698/Fuentes!S$47)*100000</f>
        <v>9.488030767393564</v>
      </c>
      <c r="T288" s="28">
        <f>(Fuentes!T1698/Fuentes!T$47)*100000</f>
        <v>7.8019501237094184</v>
      </c>
      <c r="U288" s="28">
        <f>(Fuentes!U1698/Fuentes!U$47)*100000</f>
        <v>7.3350224537628756</v>
      </c>
      <c r="V288" s="28">
        <f>(Fuentes!V1698/Fuentes!V$47)*100000</f>
        <v>6.8208791658519505</v>
      </c>
    </row>
    <row r="289" spans="1:22" s="14" customFormat="1" ht="12.75" x14ac:dyDescent="0.2">
      <c r="A289" s="28" t="s">
        <v>3198</v>
      </c>
      <c r="B289" s="29" t="s">
        <v>3275</v>
      </c>
      <c r="C289" s="29">
        <f>(Fuentes!C1699/Fuentes!C$47)*100000</f>
        <v>0</v>
      </c>
      <c r="D289" s="30">
        <f>(Fuentes!D1699/Fuentes!D$47)*100000</f>
        <v>0</v>
      </c>
      <c r="E289" s="35">
        <f>(Fuentes!E1699/Fuentes!E$47)*100000</f>
        <v>0</v>
      </c>
      <c r="F289" s="28">
        <f>(Fuentes!F1699/Fuentes!F$47)*100000</f>
        <v>0</v>
      </c>
      <c r="G289" s="28">
        <f>(Fuentes!G1699/Fuentes!G$47)*100000</f>
        <v>0</v>
      </c>
      <c r="H289" s="36">
        <f>(Fuentes!H1699/Fuentes!H$47)*100000</f>
        <v>0</v>
      </c>
      <c r="I289" s="28">
        <f>(Fuentes!I1699/Fuentes!I$47)*100000</f>
        <v>0</v>
      </c>
      <c r="J289" s="28">
        <f>(Fuentes!J1699/Fuentes!J$47)*100000</f>
        <v>0</v>
      </c>
      <c r="K289" s="28">
        <f>(Fuentes!K1699/Fuentes!K$47)*100000</f>
        <v>0</v>
      </c>
      <c r="L289" s="28">
        <f>(Fuentes!L1699/Fuentes!L$47)*100000</f>
        <v>0</v>
      </c>
      <c r="M289" s="28">
        <f>(Fuentes!M1699/Fuentes!M$47)*100000</f>
        <v>2.2056095709339477E-2</v>
      </c>
      <c r="N289" s="28">
        <f>(Fuentes!N1699/Fuentes!N$47)*100000</f>
        <v>0</v>
      </c>
      <c r="O289" s="28">
        <f>(Fuentes!O1699/Fuentes!O$47)*100000</f>
        <v>0</v>
      </c>
      <c r="P289" s="28">
        <f>(Fuentes!P1699/Fuentes!P$47)*100000</f>
        <v>0</v>
      </c>
      <c r="Q289" s="28">
        <f>(Fuentes!Q1699/Fuentes!Q$47)*100000</f>
        <v>0</v>
      </c>
      <c r="R289" s="28">
        <f>(Fuentes!R1699/Fuentes!R$47)*100000</f>
        <v>0</v>
      </c>
      <c r="S289" s="28">
        <f>(Fuentes!S1699/Fuentes!S$47)*100000</f>
        <v>0</v>
      </c>
      <c r="T289" s="28">
        <f>(Fuentes!T1699/Fuentes!T$47)*100000</f>
        <v>0</v>
      </c>
      <c r="U289" s="28">
        <f>(Fuentes!U1699/Fuentes!U$47)*100000</f>
        <v>0</v>
      </c>
      <c r="V289" s="28">
        <f>(Fuentes!V1699/Fuentes!V$47)*100000</f>
        <v>0</v>
      </c>
    </row>
    <row r="290" spans="1:22" s="14" customFormat="1" ht="12.75" x14ac:dyDescent="0.2">
      <c r="A290" s="28" t="s">
        <v>3198</v>
      </c>
      <c r="B290" s="29" t="s">
        <v>3276</v>
      </c>
      <c r="C290" s="29">
        <f>(Fuentes!C1700/Fuentes!C$47)*100000</f>
        <v>0.1807688304953918</v>
      </c>
      <c r="D290" s="30">
        <f>(Fuentes!D1700/Fuentes!D$47)*100000</f>
        <v>0.27824200629686957</v>
      </c>
      <c r="E290" s="35">
        <f>(Fuentes!E1700/Fuentes!E$47)*100000</f>
        <v>0.34804823252406319</v>
      </c>
      <c r="F290" s="28">
        <f>(Fuentes!F1700/Fuentes!F$47)*100000</f>
        <v>0.78308439814457942</v>
      </c>
      <c r="G290" s="28">
        <f>(Fuentes!G1700/Fuentes!G$47)*100000</f>
        <v>0.65031674038127352</v>
      </c>
      <c r="H290" s="28">
        <f>(Fuentes!H1700/Fuentes!H$47)*100000</f>
        <v>0.64053170774293711</v>
      </c>
      <c r="I290" s="28">
        <f>(Fuentes!I1700/Fuentes!I$47)*100000</f>
        <v>0.53755197893918083</v>
      </c>
      <c r="J290" s="28">
        <f>(Fuentes!J1700/Fuentes!J$47)*100000</f>
        <v>1.2441278318307802</v>
      </c>
      <c r="K290" s="28">
        <f>(Fuentes!K1700/Fuentes!K$47)*100000</f>
        <v>2.8382707891982224</v>
      </c>
      <c r="L290" s="28">
        <f>(Fuentes!L1700/Fuentes!L$47)*100000</f>
        <v>4.9000556458374023</v>
      </c>
      <c r="M290" s="28">
        <f>(Fuentes!M1700/Fuentes!M$47)*100000</f>
        <v>8.3592602738396629</v>
      </c>
      <c r="N290" s="36">
        <f>(Fuentes!N1700/Fuentes!N$47)*100000</f>
        <v>9.9517720142669646</v>
      </c>
      <c r="O290" s="28">
        <f>(Fuentes!O1700/Fuentes!O$47)*100000</f>
        <v>13.369297172608588</v>
      </c>
      <c r="P290" s="28">
        <f>(Fuentes!P1700/Fuentes!P$47)*100000</f>
        <v>12.666650258722168</v>
      </c>
      <c r="Q290" s="28">
        <f>(Fuentes!Q1700/Fuentes!Q$47)*100000</f>
        <v>14.539759012922158</v>
      </c>
      <c r="R290" s="28">
        <f>(Fuentes!R1700/Fuentes!R$47)*100000</f>
        <v>18.831896763128057</v>
      </c>
      <c r="S290" s="28">
        <f>(Fuentes!S1700/Fuentes!S$47)*100000</f>
        <v>19.139648272155984</v>
      </c>
      <c r="T290" s="28">
        <f>(Fuentes!T1700/Fuentes!T$47)*100000</f>
        <v>19.322964555093794</v>
      </c>
      <c r="U290" s="28">
        <f>(Fuentes!U1700/Fuentes!U$47)*100000</f>
        <v>20.845854003473246</v>
      </c>
      <c r="V290" s="28">
        <f>(Fuentes!V1700/Fuentes!V$47)*100000</f>
        <v>28.31159120434781</v>
      </c>
    </row>
    <row r="291" spans="1:22" s="14" customFormat="1" ht="12.75" x14ac:dyDescent="0.2">
      <c r="A291" s="28" t="s">
        <v>3198</v>
      </c>
      <c r="B291" s="29" t="s">
        <v>3277</v>
      </c>
      <c r="C291" s="29">
        <f>(Fuentes!C1701/Fuentes!C$47)*100000</f>
        <v>0</v>
      </c>
      <c r="D291" s="30">
        <f>(Fuentes!D1701/Fuentes!D$47)*100000</f>
        <v>0</v>
      </c>
      <c r="E291" s="35">
        <f>(Fuentes!E1701/Fuentes!E$47)*100000</f>
        <v>0</v>
      </c>
      <c r="F291" s="28">
        <f>(Fuentes!F1701/Fuentes!F$47)*100000</f>
        <v>0</v>
      </c>
      <c r="G291" s="28">
        <f>(Fuentes!G1701/Fuentes!G$47)*100000</f>
        <v>0</v>
      </c>
      <c r="H291" s="36">
        <f>(Fuentes!H1701/Fuentes!H$47)*100000</f>
        <v>0</v>
      </c>
      <c r="I291" s="28">
        <f>(Fuentes!I1701/Fuentes!I$47)*100000</f>
        <v>0</v>
      </c>
      <c r="J291" s="28">
        <f>(Fuentes!J1701/Fuentes!J$47)*100000</f>
        <v>0</v>
      </c>
      <c r="K291" s="28">
        <f>(Fuentes!K1701/Fuentes!K$47)*100000</f>
        <v>0</v>
      </c>
      <c r="L291" s="28">
        <f>(Fuentes!L1701/Fuentes!L$47)*100000</f>
        <v>0</v>
      </c>
      <c r="M291" s="28">
        <f>(Fuentes!M1701/Fuentes!M$47)*100000</f>
        <v>0</v>
      </c>
      <c r="N291" s="28">
        <f>(Fuentes!N1701/Fuentes!N$47)*100000</f>
        <v>0</v>
      </c>
      <c r="O291" s="28">
        <f>(Fuentes!O1701/Fuentes!O$47)*100000</f>
        <v>0</v>
      </c>
      <c r="P291" s="28">
        <f>(Fuentes!P1701/Fuentes!P$47)*100000</f>
        <v>0</v>
      </c>
      <c r="Q291" s="28">
        <f>(Fuentes!Q1701/Fuentes!Q$47)*100000</f>
        <v>2.095066140190513E-2</v>
      </c>
      <c r="R291" s="28">
        <f>(Fuentes!R1701/Fuentes!R$47)*100000</f>
        <v>2.069439204739347E-2</v>
      </c>
      <c r="S291" s="28">
        <f>(Fuentes!S1701/Fuentes!S$47)*100000</f>
        <v>0</v>
      </c>
      <c r="T291" s="28">
        <f>(Fuentes!T1701/Fuentes!T$47)*100000</f>
        <v>0</v>
      </c>
      <c r="U291" s="28">
        <f>(Fuentes!U1701/Fuentes!U$47)*100000</f>
        <v>0</v>
      </c>
      <c r="V291" s="28">
        <f>(Fuentes!V1701/Fuentes!V$47)*100000</f>
        <v>0</v>
      </c>
    </row>
    <row r="292" spans="1:22" s="14" customFormat="1" ht="12.75" x14ac:dyDescent="0.2">
      <c r="A292" s="28" t="s">
        <v>3198</v>
      </c>
      <c r="B292" s="29" t="s">
        <v>3278</v>
      </c>
      <c r="C292" s="29">
        <f>(Fuentes!C1702/Fuentes!C$47)*100000</f>
        <v>0</v>
      </c>
      <c r="D292" s="30">
        <f>(Fuentes!D1702/Fuentes!D$47)*100000</f>
        <v>0</v>
      </c>
      <c r="E292" s="35">
        <f>(Fuentes!E1702/Fuentes!E$47)*100000</f>
        <v>0</v>
      </c>
      <c r="F292" s="28">
        <f>(Fuentes!F1702/Fuentes!F$47)*100000</f>
        <v>0</v>
      </c>
      <c r="G292" s="28">
        <f>(Fuentes!G1702/Fuentes!G$47)*100000</f>
        <v>0</v>
      </c>
      <c r="H292" s="28">
        <f>(Fuentes!H1702/Fuentes!H$47)*100000</f>
        <v>0</v>
      </c>
      <c r="I292" s="28">
        <f>(Fuentes!I1702/Fuentes!I$47)*100000</f>
        <v>2.3371825171268734E-2</v>
      </c>
      <c r="J292" s="28">
        <f>(Fuentes!J1702/Fuentes!J$47)*100000</f>
        <v>0</v>
      </c>
      <c r="K292" s="28">
        <f>(Fuentes!K1702/Fuentes!K$47)*100000</f>
        <v>9.0824665254343129E-2</v>
      </c>
      <c r="L292" s="28">
        <f>(Fuentes!L1702/Fuentes!L$47)*100000</f>
        <v>0.22374683314326041</v>
      </c>
      <c r="M292" s="28">
        <f>(Fuentes!M1702/Fuentes!M$47)*100000</f>
        <v>2.2056095709339477E-2</v>
      </c>
      <c r="N292" s="36">
        <f>(Fuentes!N1702/Fuentes!N$47)*100000</f>
        <v>4.3552612753903562E-2</v>
      </c>
      <c r="O292" s="28">
        <f>(Fuentes!O1702/Fuentes!O$47)*100000</f>
        <v>4.2988093802599964E-2</v>
      </c>
      <c r="P292" s="28">
        <f>(Fuentes!P1702/Fuentes!P$47)*100000</f>
        <v>0</v>
      </c>
      <c r="Q292" s="28">
        <f>(Fuentes!Q1702/Fuentes!Q$47)*100000</f>
        <v>2.095066140190513E-2</v>
      </c>
      <c r="R292" s="28">
        <f>(Fuentes!R1702/Fuentes!R$47)*100000</f>
        <v>0</v>
      </c>
      <c r="S292" s="28">
        <f>(Fuentes!S1702/Fuentes!S$47)*100000</f>
        <v>0</v>
      </c>
      <c r="T292" s="28">
        <f>(Fuentes!T1702/Fuentes!T$47)*100000</f>
        <v>0</v>
      </c>
      <c r="U292" s="28">
        <f>(Fuentes!U1702/Fuentes!U$47)*100000</f>
        <v>0</v>
      </c>
      <c r="V292" s="28">
        <f>(Fuentes!V1702/Fuentes!V$47)*100000</f>
        <v>7.9082656995384928E-2</v>
      </c>
    </row>
    <row r="293" spans="1:22" s="14" customFormat="1" ht="12.75" x14ac:dyDescent="0.2">
      <c r="A293" s="28" t="s">
        <v>3198</v>
      </c>
      <c r="B293" s="29" t="s">
        <v>3279</v>
      </c>
      <c r="C293" s="29">
        <f>(Fuentes!C1703/Fuentes!C$47)*100000</f>
        <v>0</v>
      </c>
      <c r="D293" s="30">
        <f>(Fuentes!D1703/Fuentes!D$47)*100000</f>
        <v>0</v>
      </c>
      <c r="E293" s="35">
        <f>(Fuentes!E1703/Fuentes!E$47)*100000</f>
        <v>0</v>
      </c>
      <c r="F293" s="28">
        <f>(Fuentes!F1703/Fuentes!F$47)*100000</f>
        <v>0</v>
      </c>
      <c r="G293" s="28">
        <f>(Fuentes!G1703/Fuentes!G$47)*100000</f>
        <v>0</v>
      </c>
      <c r="H293" s="36">
        <f>(Fuentes!H1703/Fuentes!H$47)*100000</f>
        <v>0</v>
      </c>
      <c r="I293" s="28">
        <f>(Fuentes!I1703/Fuentes!I$47)*100000</f>
        <v>0</v>
      </c>
      <c r="J293" s="28">
        <f>(Fuentes!J1703/Fuentes!J$47)*100000</f>
        <v>0</v>
      </c>
      <c r="K293" s="28">
        <f>(Fuentes!K1703/Fuentes!K$47)*100000</f>
        <v>0</v>
      </c>
      <c r="L293" s="28">
        <f>(Fuentes!L1703/Fuentes!L$47)*100000</f>
        <v>0</v>
      </c>
      <c r="M293" s="28">
        <f>(Fuentes!M1703/Fuentes!M$47)*100000</f>
        <v>0</v>
      </c>
      <c r="N293" s="28">
        <f>(Fuentes!N1703/Fuentes!N$47)*100000</f>
        <v>2.1776306376951781E-2</v>
      </c>
      <c r="O293" s="28">
        <f>(Fuentes!O1703/Fuentes!O$47)*100000</f>
        <v>0</v>
      </c>
      <c r="P293" s="28">
        <f>(Fuentes!P1703/Fuentes!P$47)*100000</f>
        <v>0</v>
      </c>
      <c r="Q293" s="28">
        <f>(Fuentes!Q1703/Fuentes!Q$47)*100000</f>
        <v>0</v>
      </c>
      <c r="R293" s="28">
        <f>(Fuentes!R1703/Fuentes!R$47)*100000</f>
        <v>0</v>
      </c>
      <c r="S293" s="28">
        <f>(Fuentes!S1703/Fuentes!S$47)*100000</f>
        <v>2.0448342171106821E-2</v>
      </c>
      <c r="T293" s="28">
        <f>(Fuentes!T1703/Fuentes!T$47)*100000</f>
        <v>0</v>
      </c>
      <c r="U293" s="28">
        <f>(Fuentes!U1703/Fuentes!U$47)*100000</f>
        <v>0</v>
      </c>
      <c r="V293" s="28">
        <f>(Fuentes!V1703/Fuentes!V$47)*100000</f>
        <v>0</v>
      </c>
    </row>
    <row r="294" spans="1:22" s="14" customFormat="1" ht="12.75" x14ac:dyDescent="0.2">
      <c r="A294" s="28" t="s">
        <v>3198</v>
      </c>
      <c r="B294" s="29" t="s">
        <v>3280</v>
      </c>
      <c r="C294" s="29">
        <f>(Fuentes!C1704/Fuentes!C$47)*100000</f>
        <v>0.43901001691738017</v>
      </c>
      <c r="D294" s="30">
        <f>(Fuentes!D1704/Fuentes!D$47)*100000</f>
        <v>0.6829576518195889</v>
      </c>
      <c r="E294" s="35">
        <f>(Fuentes!E1704/Fuentes!E$47)*100000</f>
        <v>0.52207234878609476</v>
      </c>
      <c r="F294" s="28">
        <f>(Fuentes!F1704/Fuentes!F$47)*100000</f>
        <v>0.46495636139834401</v>
      </c>
      <c r="G294" s="28">
        <f>(Fuentes!G1704/Fuentes!G$47)*100000</f>
        <v>0.43354449358751562</v>
      </c>
      <c r="H294" s="28">
        <f>(Fuentes!H1704/Fuentes!H$47)*100000</f>
        <v>0.28468075899686091</v>
      </c>
      <c r="I294" s="28">
        <f>(Fuentes!I1704/Fuentes!I$47)*100000</f>
        <v>0.56092380411044962</v>
      </c>
      <c r="J294" s="28">
        <f>(Fuentes!J1704/Fuentes!J$47)*100000</f>
        <v>0.34559106439743892</v>
      </c>
      <c r="K294" s="28">
        <f>(Fuentes!K1704/Fuentes!K$47)*100000</f>
        <v>0.408710993644544</v>
      </c>
      <c r="L294" s="28">
        <f>(Fuentes!L1704/Fuentes!L$47)*100000</f>
        <v>0.44749366628652082</v>
      </c>
      <c r="M294" s="28">
        <f>(Fuentes!M1704/Fuentes!M$47)*100000</f>
        <v>0.46317800989612901</v>
      </c>
      <c r="N294" s="36">
        <f>(Fuentes!N1704/Fuentes!N$47)*100000</f>
        <v>0.28309198290037318</v>
      </c>
      <c r="O294" s="28">
        <f>(Fuentes!O1704/Fuentes!O$47)*100000</f>
        <v>0.36539879732209968</v>
      </c>
      <c r="P294" s="28">
        <f>(Fuentes!P1704/Fuentes!P$47)*100000</f>
        <v>0.40312622263939896</v>
      </c>
      <c r="Q294" s="28">
        <f>(Fuentes!Q1704/Fuentes!Q$47)*100000</f>
        <v>0.87992777888001528</v>
      </c>
      <c r="R294" s="28">
        <f>(Fuentes!R1704/Fuentes!R$47)*100000</f>
        <v>0.2069439204739347</v>
      </c>
      <c r="S294" s="28">
        <f>(Fuentes!S1704/Fuentes!S$47)*100000</f>
        <v>0.1022417108555341</v>
      </c>
      <c r="T294" s="28">
        <f>(Fuentes!T1704/Fuentes!T$47)*100000</f>
        <v>0.1819107541797533</v>
      </c>
      <c r="U294" s="28">
        <f>(Fuentes!U1704/Fuentes!U$47)*100000</f>
        <v>0.91937611137082376</v>
      </c>
      <c r="V294" s="28">
        <f>(Fuentes!V1704/Fuentes!V$47)*100000</f>
        <v>0.7117439129584644</v>
      </c>
    </row>
    <row r="295" spans="1:22" s="14" customFormat="1" ht="12.75" x14ac:dyDescent="0.2">
      <c r="A295" s="28" t="s">
        <v>3198</v>
      </c>
      <c r="B295" s="29" t="s">
        <v>3281</v>
      </c>
      <c r="C295" s="29">
        <f>(Fuentes!C1705/Fuentes!C$47)*100000</f>
        <v>0.10329647456879532</v>
      </c>
      <c r="D295" s="30">
        <f>(Fuentes!D1705/Fuentes!D$47)*100000</f>
        <v>0.15176836707101973</v>
      </c>
      <c r="E295" s="35">
        <f>(Fuentes!E1705/Fuentes!E$47)*100000</f>
        <v>0.22374529233689774</v>
      </c>
      <c r="F295" s="28">
        <f>(Fuentes!F1705/Fuentes!F$47)*100000</f>
        <v>0.31812803674623535</v>
      </c>
      <c r="G295" s="28">
        <f>(Fuentes!G1705/Fuentes!G$47)*100000</f>
        <v>0.24085805199306426</v>
      </c>
      <c r="H295" s="36">
        <f>(Fuentes!H1705/Fuentes!H$47)*100000</f>
        <v>0.14234037949843045</v>
      </c>
      <c r="I295" s="28">
        <f>(Fuentes!I1705/Fuentes!I$47)*100000</f>
        <v>0.37394920274029975</v>
      </c>
      <c r="J295" s="28">
        <f>(Fuentes!J1705/Fuentes!J$47)*100000</f>
        <v>0.13823642575897557</v>
      </c>
      <c r="K295" s="28">
        <f>(Fuentes!K1705/Fuentes!K$47)*100000</f>
        <v>0.1135308315679289</v>
      </c>
      <c r="L295" s="28">
        <f>(Fuentes!L1705/Fuentes!L$47)*100000</f>
        <v>6.7124049942978117E-2</v>
      </c>
      <c r="M295" s="28">
        <f>(Fuentes!M1705/Fuentes!M$47)*100000</f>
        <v>0</v>
      </c>
      <c r="N295" s="28">
        <f>(Fuentes!N1705/Fuentes!N$47)*100000</f>
        <v>6.5328919130855354E-2</v>
      </c>
      <c r="O295" s="28">
        <f>(Fuentes!O1705/Fuentes!O$47)*100000</f>
        <v>6.4482140703899946E-2</v>
      </c>
      <c r="P295" s="28">
        <f>(Fuentes!P1705/Fuentes!P$47)*100000</f>
        <v>4.2434339225199888E-2</v>
      </c>
      <c r="Q295" s="28">
        <f>(Fuentes!Q1705/Fuentes!Q$47)*100000</f>
        <v>0.10475330700952563</v>
      </c>
      <c r="R295" s="28">
        <f>(Fuentes!R1705/Fuentes!R$47)*100000</f>
        <v>0.12416635228436081</v>
      </c>
      <c r="S295" s="28">
        <f>(Fuentes!S1705/Fuentes!S$47)*100000</f>
        <v>0.12269005302664091</v>
      </c>
      <c r="T295" s="28">
        <f>(Fuentes!T1705/Fuentes!T$47)*100000</f>
        <v>0.10106153009986293</v>
      </c>
      <c r="U295" s="28">
        <f>(Fuentes!U1705/Fuentes!U$47)*100000</f>
        <v>5.9959311611140681E-2</v>
      </c>
      <c r="V295" s="28">
        <f>(Fuentes!V1705/Fuentes!V$47)*100000</f>
        <v>9.8853321244231157E-2</v>
      </c>
    </row>
    <row r="296" spans="1:22" s="14" customFormat="1" ht="12.75" x14ac:dyDescent="0.2">
      <c r="A296" s="28" t="s">
        <v>3198</v>
      </c>
      <c r="B296" s="29" t="s">
        <v>3282</v>
      </c>
      <c r="C296" s="29">
        <f>(Fuentes!C1706/Fuentes!C$47)*100000</f>
        <v>0</v>
      </c>
      <c r="D296" s="30">
        <f>(Fuentes!D1706/Fuentes!D$47)*100000</f>
        <v>0</v>
      </c>
      <c r="E296" s="35">
        <f>(Fuentes!E1706/Fuentes!E$47)*100000</f>
        <v>0</v>
      </c>
      <c r="F296" s="28">
        <f>(Fuentes!F1706/Fuentes!F$47)*100000</f>
        <v>0</v>
      </c>
      <c r="G296" s="28">
        <f>(Fuentes!G1706/Fuentes!G$47)*100000</f>
        <v>0</v>
      </c>
      <c r="H296" s="28">
        <f>(Fuentes!H1706/Fuentes!H$47)*100000</f>
        <v>0.21351056924764569</v>
      </c>
      <c r="I296" s="28">
        <f>(Fuentes!I1706/Fuentes!I$47)*100000</f>
        <v>0.1402309510276124</v>
      </c>
      <c r="J296" s="28">
        <f>(Fuentes!J1706/Fuentes!J$47)*100000</f>
        <v>0.73726093738120302</v>
      </c>
      <c r="K296" s="28">
        <f>(Fuentes!K1706/Fuentes!K$47)*100000</f>
        <v>0.52224182521247298</v>
      </c>
      <c r="L296" s="28">
        <f>(Fuentes!L1706/Fuentes!L$47)*100000</f>
        <v>0.17899746651460832</v>
      </c>
      <c r="M296" s="28">
        <f>(Fuentes!M1706/Fuentes!M$47)*100000</f>
        <v>0.39700972276811058</v>
      </c>
      <c r="N296" s="36">
        <f>(Fuentes!N1706/Fuentes!N$47)*100000</f>
        <v>0.19598675739256605</v>
      </c>
      <c r="O296" s="28">
        <f>(Fuentes!O1706/Fuentes!O$47)*100000</f>
        <v>0.47286903182859957</v>
      </c>
      <c r="P296" s="28">
        <f>(Fuentes!P1706/Fuentes!P$47)*100000</f>
        <v>0.23338886573859938</v>
      </c>
      <c r="Q296" s="28">
        <f>(Fuentes!Q1706/Fuentes!Q$47)*100000</f>
        <v>0.20950661401905127</v>
      </c>
      <c r="R296" s="28">
        <f>(Fuentes!R1706/Fuentes!R$47)*100000</f>
        <v>0.14486074433175428</v>
      </c>
      <c r="S296" s="28">
        <f>(Fuentes!S1706/Fuentes!S$47)*100000</f>
        <v>0.1022417108555341</v>
      </c>
      <c r="T296" s="28">
        <f>(Fuentes!T1706/Fuentes!T$47)*100000</f>
        <v>0.44467073243939692</v>
      </c>
      <c r="U296" s="28">
        <f>(Fuentes!U1706/Fuentes!U$47)*100000</f>
        <v>5.9959311611140681E-2</v>
      </c>
      <c r="V296" s="28">
        <f>(Fuentes!V1706/Fuentes!V$47)*100000</f>
        <v>7.9082656995384928E-2</v>
      </c>
    </row>
    <row r="297" spans="1:22" s="14" customFormat="1" ht="12.75" x14ac:dyDescent="0.2">
      <c r="A297" s="28" t="s">
        <v>3198</v>
      </c>
      <c r="B297" s="29" t="s">
        <v>3283</v>
      </c>
      <c r="C297" s="29">
        <f>(Fuentes!C1707/Fuentes!C$47)*100000</f>
        <v>0</v>
      </c>
      <c r="D297" s="30">
        <f>(Fuentes!D1707/Fuentes!D$47)*100000</f>
        <v>0</v>
      </c>
      <c r="E297" s="35">
        <f>(Fuentes!E1707/Fuentes!E$47)*100000</f>
        <v>0</v>
      </c>
      <c r="F297" s="28">
        <f>(Fuentes!F1707/Fuentes!F$47)*100000</f>
        <v>0</v>
      </c>
      <c r="G297" s="28">
        <f>(Fuentes!G1707/Fuentes!G$47)*100000</f>
        <v>0</v>
      </c>
      <c r="H297" s="36">
        <f>(Fuentes!H1707/Fuentes!H$47)*100000</f>
        <v>0</v>
      </c>
      <c r="I297" s="28">
        <f>(Fuentes!I1707/Fuentes!I$47)*100000</f>
        <v>0</v>
      </c>
      <c r="J297" s="28">
        <f>(Fuentes!J1707/Fuentes!J$47)*100000</f>
        <v>4.6078808586325189E-2</v>
      </c>
      <c r="K297" s="28">
        <f>(Fuentes!K1707/Fuentes!K$47)*100000</f>
        <v>9.0824665254343129E-2</v>
      </c>
      <c r="L297" s="28">
        <f>(Fuentes!L1707/Fuentes!L$47)*100000</f>
        <v>4.4749366628652081E-2</v>
      </c>
      <c r="M297" s="28">
        <f>(Fuentes!M1707/Fuentes!M$47)*100000</f>
        <v>0</v>
      </c>
      <c r="N297" s="28">
        <f>(Fuentes!N1707/Fuentes!N$47)*100000</f>
        <v>0</v>
      </c>
      <c r="O297" s="28">
        <f>(Fuentes!O1707/Fuentes!O$47)*100000</f>
        <v>0</v>
      </c>
      <c r="P297" s="28">
        <f>(Fuentes!P1707/Fuentes!P$47)*100000</f>
        <v>2.1217169612599944E-2</v>
      </c>
      <c r="Q297" s="28">
        <f>(Fuentes!Q1707/Fuentes!Q$47)*100000</f>
        <v>4.1901322803810259E-2</v>
      </c>
      <c r="R297" s="28">
        <f>(Fuentes!R1707/Fuentes!R$47)*100000</f>
        <v>0</v>
      </c>
      <c r="S297" s="28">
        <f>(Fuentes!S1707/Fuentes!S$47)*100000</f>
        <v>0</v>
      </c>
      <c r="T297" s="28">
        <f>(Fuentes!T1707/Fuentes!T$47)*100000</f>
        <v>4.0424612039945178E-2</v>
      </c>
      <c r="U297" s="28">
        <f>(Fuentes!U1707/Fuentes!U$47)*100000</f>
        <v>0</v>
      </c>
      <c r="V297" s="28">
        <f>(Fuentes!V1707/Fuentes!V$47)*100000</f>
        <v>0</v>
      </c>
    </row>
    <row r="298" spans="1:22" s="14" customFormat="1" ht="12.75" x14ac:dyDescent="0.2">
      <c r="A298" s="28" t="s">
        <v>3198</v>
      </c>
      <c r="B298" s="29" t="s">
        <v>3284</v>
      </c>
      <c r="C298" s="29">
        <f>(Fuentes!C1708/Fuentes!C$47)*100000</f>
        <v>0</v>
      </c>
      <c r="D298" s="30">
        <f>(Fuentes!D1708/Fuentes!D$47)*100000</f>
        <v>0</v>
      </c>
      <c r="E298" s="35">
        <f>(Fuentes!E1708/Fuentes!E$47)*100000</f>
        <v>0</v>
      </c>
      <c r="F298" s="28">
        <f>(Fuentes!F1708/Fuentes!F$47)*100000</f>
        <v>9.7885549768072427E-2</v>
      </c>
      <c r="G298" s="28">
        <f>(Fuentes!G1708/Fuentes!G$47)*100000</f>
        <v>4.8171610398612855E-2</v>
      </c>
      <c r="H298" s="28">
        <f>(Fuentes!H1708/Fuentes!H$47)*100000</f>
        <v>7.1170189749215226E-2</v>
      </c>
      <c r="I298" s="28">
        <f>(Fuentes!I1708/Fuentes!I$47)*100000</f>
        <v>4.6743650342537468E-2</v>
      </c>
      <c r="J298" s="28">
        <f>(Fuentes!J1708/Fuentes!J$47)*100000</f>
        <v>2.3039404293162594E-2</v>
      </c>
      <c r="K298" s="28">
        <f>(Fuentes!K1708/Fuentes!K$47)*100000</f>
        <v>2.2706166313585782E-2</v>
      </c>
      <c r="L298" s="28">
        <f>(Fuentes!L1708/Fuentes!L$47)*100000</f>
        <v>4.4749366628652081E-2</v>
      </c>
      <c r="M298" s="28">
        <f>(Fuentes!M1708/Fuentes!M$47)*100000</f>
        <v>0.13233657425603684</v>
      </c>
      <c r="N298" s="36">
        <f>(Fuentes!N1708/Fuentes!N$47)*100000</f>
        <v>4.3552612753903562E-2</v>
      </c>
      <c r="O298" s="28">
        <f>(Fuentes!O1708/Fuentes!O$47)*100000</f>
        <v>0.1074702345064999</v>
      </c>
      <c r="P298" s="28">
        <f>(Fuentes!P1708/Fuentes!P$47)*100000</f>
        <v>0.1909545265133995</v>
      </c>
      <c r="Q298" s="28">
        <f>(Fuentes!Q1708/Fuentes!Q$47)*100000</f>
        <v>0.20950661401905127</v>
      </c>
      <c r="R298" s="28">
        <f>(Fuentes!R1708/Fuentes!R$47)*100000</f>
        <v>0.53805419323223014</v>
      </c>
      <c r="S298" s="28">
        <f>(Fuentes!S1708/Fuentes!S$47)*100000</f>
        <v>0</v>
      </c>
      <c r="T298" s="28">
        <f>(Fuentes!T1708/Fuentes!T$47)*100000</f>
        <v>0</v>
      </c>
      <c r="U298" s="28">
        <f>(Fuentes!U1708/Fuentes!U$47)*100000</f>
        <v>0</v>
      </c>
      <c r="V298" s="28">
        <f>(Fuentes!V1708/Fuentes!V$47)*100000</f>
        <v>0.13839464974192364</v>
      </c>
    </row>
    <row r="299" spans="1:22" s="14" customFormat="1" ht="12.75" x14ac:dyDescent="0.2">
      <c r="A299" s="28" t="s">
        <v>3198</v>
      </c>
      <c r="B299" s="29" t="s">
        <v>3285</v>
      </c>
      <c r="C299" s="29">
        <f>(Fuentes!C1710/Fuentes!C$47)*100000</f>
        <v>0</v>
      </c>
      <c r="D299" s="30">
        <f>(Fuentes!D1710/Fuentes!D$47)*100000</f>
        <v>0</v>
      </c>
      <c r="E299" s="35">
        <f>(Fuentes!E1710/Fuentes!E$47)*100000</f>
        <v>0</v>
      </c>
      <c r="F299" s="28">
        <f>(Fuentes!F1710/Fuentes!F$47)*100000</f>
        <v>0</v>
      </c>
      <c r="G299" s="28">
        <f>(Fuentes!G1710/Fuentes!G$47)*100000</f>
        <v>0</v>
      </c>
      <c r="H299" s="36">
        <f>(Fuentes!H1710/Fuentes!H$47)*100000</f>
        <v>0</v>
      </c>
      <c r="I299" s="28">
        <f>(Fuentes!I1710/Fuentes!I$47)*100000</f>
        <v>0</v>
      </c>
      <c r="J299" s="28">
        <f>(Fuentes!J1710/Fuentes!J$47)*100000</f>
        <v>0</v>
      </c>
      <c r="K299" s="28">
        <f>(Fuentes!K1710/Fuentes!K$47)*100000</f>
        <v>0</v>
      </c>
      <c r="L299" s="28">
        <f>(Fuentes!L1710/Fuentes!L$47)*100000</f>
        <v>0</v>
      </c>
      <c r="M299" s="28">
        <f>(Fuentes!M1710/Fuentes!M$47)*100000</f>
        <v>0</v>
      </c>
      <c r="N299" s="28">
        <f>(Fuentes!N1710/Fuentes!N$47)*100000</f>
        <v>0</v>
      </c>
      <c r="O299" s="28">
        <f>(Fuentes!O1710/Fuentes!O$47)*100000</f>
        <v>0</v>
      </c>
      <c r="P299" s="28">
        <f>(Fuentes!P1710/Fuentes!P$47)*100000</f>
        <v>0</v>
      </c>
      <c r="Q299" s="28">
        <f>(Fuentes!Q1710/Fuentes!Q$47)*100000</f>
        <v>0</v>
      </c>
      <c r="R299" s="28">
        <f>(Fuentes!R1710/Fuentes!R$47)*100000</f>
        <v>0</v>
      </c>
      <c r="S299" s="28">
        <f>(Fuentes!S1710/Fuentes!S$47)*100000</f>
        <v>0</v>
      </c>
      <c r="T299" s="28">
        <f>(Fuentes!T1710/Fuentes!T$47)*100000</f>
        <v>1.2935875852782457</v>
      </c>
      <c r="U299" s="28">
        <f>(Fuentes!U1710/Fuentes!U$47)*100000</f>
        <v>0.17987793483342204</v>
      </c>
      <c r="V299" s="28">
        <f>(Fuentes!V1710/Fuentes!V$47)*100000</f>
        <v>1.0676158694376965</v>
      </c>
    </row>
    <row r="300" spans="1:22" s="14" customFormat="1" ht="12.75" x14ac:dyDescent="0.2">
      <c r="A300" s="28" t="s">
        <v>3198</v>
      </c>
      <c r="B300" s="29" t="s">
        <v>3286</v>
      </c>
      <c r="C300" s="29">
        <f>(Fuentes!C1711/Fuentes!C$47)*100000</f>
        <v>0</v>
      </c>
      <c r="D300" s="30">
        <f>(Fuentes!D1711/Fuentes!D$47)*100000</f>
        <v>0</v>
      </c>
      <c r="E300" s="35">
        <f>(Fuentes!E1711/Fuentes!E$47)*100000</f>
        <v>0</v>
      </c>
      <c r="F300" s="28">
        <f>(Fuentes!F1711/Fuentes!F$47)*100000</f>
        <v>0</v>
      </c>
      <c r="G300" s="28">
        <f>(Fuentes!G1711/Fuentes!G$47)*100000</f>
        <v>0</v>
      </c>
      <c r="H300" s="28">
        <f>(Fuentes!H1711/Fuentes!H$47)*100000</f>
        <v>0</v>
      </c>
      <c r="I300" s="28">
        <f>(Fuentes!I1711/Fuentes!I$47)*100000</f>
        <v>0</v>
      </c>
      <c r="J300" s="28">
        <f>(Fuentes!J1711/Fuentes!J$47)*100000</f>
        <v>0</v>
      </c>
      <c r="K300" s="28">
        <f>(Fuentes!K1711/Fuentes!K$47)*100000</f>
        <v>0</v>
      </c>
      <c r="L300" s="28">
        <f>(Fuentes!L1711/Fuentes!L$47)*100000</f>
        <v>6.7124049942978117E-2</v>
      </c>
      <c r="M300" s="28">
        <f>(Fuentes!M1711/Fuentes!M$47)*100000</f>
        <v>2.2056095709339477E-2</v>
      </c>
      <c r="N300" s="36">
        <f>(Fuentes!N1711/Fuentes!N$47)*100000</f>
        <v>2.1776306376951781E-2</v>
      </c>
      <c r="O300" s="28">
        <f>(Fuentes!O1711/Fuentes!O$47)*100000</f>
        <v>0</v>
      </c>
      <c r="P300" s="28">
        <f>(Fuentes!P1711/Fuentes!P$47)*100000</f>
        <v>2.1217169612599944E-2</v>
      </c>
      <c r="Q300" s="28">
        <f>(Fuentes!Q1711/Fuentes!Q$47)*100000</f>
        <v>0.12570396841143078</v>
      </c>
      <c r="R300" s="28">
        <f>(Fuentes!R1711/Fuentes!R$47)*100000</f>
        <v>2.069439204739347E-2</v>
      </c>
      <c r="S300" s="28">
        <f>(Fuentes!S1711/Fuentes!S$47)*100000</f>
        <v>0</v>
      </c>
      <c r="T300" s="28">
        <f>(Fuentes!T1711/Fuentes!T$47)*100000</f>
        <v>0</v>
      </c>
      <c r="U300" s="28">
        <f>(Fuentes!U1711/Fuentes!U$47)*100000</f>
        <v>0</v>
      </c>
      <c r="V300" s="28">
        <f>(Fuentes!V1711/Fuentes!V$47)*100000</f>
        <v>0</v>
      </c>
    </row>
    <row r="301" spans="1:22" s="14" customFormat="1" ht="12.75" x14ac:dyDescent="0.2">
      <c r="A301" s="28" t="s">
        <v>3198</v>
      </c>
      <c r="B301" s="29" t="s">
        <v>3287</v>
      </c>
      <c r="C301" s="29">
        <f>(Fuentes!C1712/Fuentes!C$47)*100000</f>
        <v>0</v>
      </c>
      <c r="D301" s="30">
        <f>(Fuentes!D1712/Fuentes!D$47)*100000</f>
        <v>0</v>
      </c>
      <c r="E301" s="35">
        <f>(Fuentes!E1712/Fuentes!E$47)*100000</f>
        <v>0</v>
      </c>
      <c r="F301" s="28">
        <f>(Fuentes!F1712/Fuentes!F$47)*100000</f>
        <v>0</v>
      </c>
      <c r="G301" s="28">
        <f>(Fuentes!G1712/Fuentes!G$47)*100000</f>
        <v>0</v>
      </c>
      <c r="H301" s="36">
        <f>(Fuentes!H1712/Fuentes!H$47)*100000</f>
        <v>0</v>
      </c>
      <c r="I301" s="28">
        <f>(Fuentes!I1712/Fuentes!I$47)*100000</f>
        <v>4.6743650342537468E-2</v>
      </c>
      <c r="J301" s="28">
        <f>(Fuentes!J1712/Fuentes!J$47)*100000</f>
        <v>0.11519702146581298</v>
      </c>
      <c r="K301" s="28">
        <f>(Fuentes!K1712/Fuentes!K$47)*100000</f>
        <v>0.18164933050868626</v>
      </c>
      <c r="L301" s="28">
        <f>(Fuentes!L1712/Fuentes!L$47)*100000</f>
        <v>0.1118734165716302</v>
      </c>
      <c r="M301" s="28">
        <f>(Fuentes!M1712/Fuentes!M$47)*100000</f>
        <v>0.17644876567471582</v>
      </c>
      <c r="N301" s="28">
        <f>(Fuentes!N1712/Fuentes!N$47)*100000</f>
        <v>0.13065783826171071</v>
      </c>
      <c r="O301" s="28">
        <f>(Fuentes!O1712/Fuentes!O$47)*100000</f>
        <v>0.30091665661819972</v>
      </c>
      <c r="P301" s="28">
        <f>(Fuentes!P1712/Fuentes!P$47)*100000</f>
        <v>4.2434339225199888E-2</v>
      </c>
      <c r="Q301" s="28">
        <f>(Fuentes!Q1712/Fuentes!Q$47)*100000</f>
        <v>8.3802645607620518E-2</v>
      </c>
      <c r="R301" s="28">
        <f>(Fuentes!R1712/Fuentes!R$47)*100000</f>
        <v>4.138878409478694E-2</v>
      </c>
      <c r="S301" s="28">
        <f>(Fuentes!S1712/Fuentes!S$47)*100000</f>
        <v>2.0448342171106821E-2</v>
      </c>
      <c r="T301" s="28">
        <f>(Fuentes!T1712/Fuentes!T$47)*100000</f>
        <v>0.10106153009986293</v>
      </c>
      <c r="U301" s="28">
        <f>(Fuentes!U1712/Fuentes!U$47)*100000</f>
        <v>3.9972874407427118E-2</v>
      </c>
      <c r="V301" s="28">
        <f>(Fuentes!V1712/Fuentes!V$47)*100000</f>
        <v>7.9082656995384928E-2</v>
      </c>
    </row>
    <row r="302" spans="1:22" s="14" customFormat="1" ht="12.75" x14ac:dyDescent="0.2">
      <c r="A302" s="28" t="s">
        <v>3198</v>
      </c>
      <c r="B302" s="29" t="s">
        <v>3288</v>
      </c>
      <c r="C302" s="29">
        <f>(Fuentes!C1713/Fuentes!C$47)*100000</f>
        <v>34.630143099188629</v>
      </c>
      <c r="D302" s="30">
        <f>(Fuentes!D1713/Fuentes!D$47)*100000</f>
        <v>33.313156572088836</v>
      </c>
      <c r="E302" s="35">
        <f>(Fuentes!E1713/Fuentes!E$47)*100000</f>
        <v>44.599894939154957</v>
      </c>
      <c r="F302" s="28">
        <f>(Fuentes!F1713/Fuentes!F$47)*100000</f>
        <v>61.031640280393155</v>
      </c>
      <c r="G302" s="28">
        <f>(Fuentes!G1713/Fuentes!G$47)*100000</f>
        <v>56.625728023569408</v>
      </c>
      <c r="H302" s="28">
        <f>(Fuentes!H1713/Fuentes!H$47)*100000</f>
        <v>55.631364987303236</v>
      </c>
      <c r="I302" s="28">
        <f>(Fuentes!I1713/Fuentes!I$47)*100000</f>
        <v>53.334505040835261</v>
      </c>
      <c r="J302" s="28">
        <f>(Fuentes!J1713/Fuentes!J$47)*100000</f>
        <v>63.104928358972352</v>
      </c>
      <c r="K302" s="28">
        <f>(Fuentes!K1713/Fuentes!K$47)*100000</f>
        <v>75.066585832714594</v>
      </c>
      <c r="L302" s="28">
        <f>(Fuentes!L1713/Fuentes!L$47)*100000</f>
        <v>83.905062428722644</v>
      </c>
      <c r="M302" s="28">
        <f>(Fuentes!M1713/Fuentes!M$47)*100000</f>
        <v>94.466257923100983</v>
      </c>
      <c r="N302" s="36">
        <f>(Fuentes!N1713/Fuentes!N$47)*100000</f>
        <v>98.624891581214627</v>
      </c>
      <c r="O302" s="28">
        <f>(Fuentes!O1713/Fuentes!O$47)*100000</f>
        <v>67.727741785996244</v>
      </c>
      <c r="P302" s="28">
        <f>(Fuentes!P1713/Fuentes!P$47)*100000</f>
        <v>82.662092810689373</v>
      </c>
      <c r="Q302" s="28">
        <f>(Fuentes!Q1713/Fuentes!Q$47)*100000</f>
        <v>83.488385686591926</v>
      </c>
      <c r="R302" s="28">
        <f>(Fuentes!R1713/Fuentes!R$47)*100000</f>
        <v>95.587396866910439</v>
      </c>
      <c r="S302" s="28">
        <f>(Fuentes!S1713/Fuentes!S$47)*100000</f>
        <v>95.289274517357782</v>
      </c>
      <c r="T302" s="28">
        <f>(Fuentes!T1713/Fuentes!T$47)*100000</f>
        <v>108.07520028879341</v>
      </c>
      <c r="U302" s="28">
        <f>(Fuentes!U1713/Fuentes!U$47)*100000</f>
        <v>71.031797821997984</v>
      </c>
      <c r="V302" s="28">
        <f>(Fuentes!V1713/Fuentes!V$47)*100000</f>
        <v>72.676961778758752</v>
      </c>
    </row>
    <row r="303" spans="1:22" s="14" customFormat="1" ht="12.75" x14ac:dyDescent="0.2">
      <c r="A303" s="28" t="s">
        <v>3198</v>
      </c>
      <c r="B303" s="29" t="s">
        <v>3289</v>
      </c>
      <c r="C303" s="29">
        <f>(Fuentes!C1714/Fuentes!C$47)*100000</f>
        <v>18.825782490162947</v>
      </c>
      <c r="D303" s="30">
        <f>(Fuentes!D1714/Fuentes!D$47)*100000</f>
        <v>19.097519523103319</v>
      </c>
      <c r="E303" s="35">
        <f>(Fuentes!E1714/Fuentes!E$47)*100000</f>
        <v>27.818998013887622</v>
      </c>
      <c r="F303" s="28">
        <f>(Fuentes!F1714/Fuentes!F$47)*100000</f>
        <v>43.632483809118284</v>
      </c>
      <c r="G303" s="28">
        <f>(Fuentes!G1714/Fuentes!G$47)*100000</f>
        <v>39.139433448872943</v>
      </c>
      <c r="H303" s="36">
        <f>(Fuentes!H1714/Fuentes!H$47)*100000</f>
        <v>38.431902464576225</v>
      </c>
      <c r="I303" s="28">
        <f>(Fuentes!I1714/Fuentes!I$47)*100000</f>
        <v>36.717137344063183</v>
      </c>
      <c r="J303" s="28">
        <f>(Fuentes!J1714/Fuentes!J$47)*100000</f>
        <v>44.097419817113206</v>
      </c>
      <c r="K303" s="28">
        <f>(Fuentes!K1714/Fuentes!K$47)*100000</f>
        <v>55.425751971462894</v>
      </c>
      <c r="L303" s="28">
        <f>(Fuentes!L1714/Fuentes!L$47)*100000</f>
        <v>63.611224662628935</v>
      </c>
      <c r="M303" s="28">
        <f>(Fuentes!M1714/Fuentes!M$47)*100000</f>
        <v>73.865864530577909</v>
      </c>
      <c r="N303" s="28">
        <f>(Fuentes!N1714/Fuentes!N$47)*100000</f>
        <v>78.503584488911187</v>
      </c>
      <c r="O303" s="28">
        <f>(Fuentes!O1714/Fuentes!O$47)*100000</f>
        <v>50.425034030449758</v>
      </c>
      <c r="P303" s="28">
        <f>(Fuentes!P1714/Fuentes!P$47)*100000</f>
        <v>65.709574290222022</v>
      </c>
      <c r="Q303" s="28">
        <f>(Fuentes!Q1714/Fuentes!Q$47)*100000</f>
        <v>67.314475084321174</v>
      </c>
      <c r="R303" s="28">
        <f>(Fuentes!R1714/Fuentes!R$47)*100000</f>
        <v>76.093279558265792</v>
      </c>
      <c r="S303" s="28">
        <f>(Fuentes!S1714/Fuentes!S$47)*100000</f>
        <v>75.290795874015302</v>
      </c>
      <c r="T303" s="28">
        <f>(Fuentes!T1714/Fuentes!T$47)*100000</f>
        <v>88.529900367479939</v>
      </c>
      <c r="U303" s="28">
        <f>(Fuentes!U1714/Fuentes!U$47)*100000</f>
        <v>52.384451910933244</v>
      </c>
      <c r="V303" s="28">
        <f>(Fuentes!V1714/Fuentes!V$47)*100000</f>
        <v>55.476483882262528</v>
      </c>
    </row>
    <row r="304" spans="1:22" s="14" customFormat="1" ht="12.75" x14ac:dyDescent="0.2">
      <c r="A304" s="28" t="s">
        <v>3198</v>
      </c>
      <c r="B304" s="29" t="s">
        <v>3290</v>
      </c>
      <c r="C304" s="29">
        <f>(Fuentes!C1715/Fuentes!C$47)*100000</f>
        <v>1.7302159490273217</v>
      </c>
      <c r="D304" s="30">
        <f>(Fuentes!D1715/Fuentes!D$47)*100000</f>
        <v>1.0623785694971382</v>
      </c>
      <c r="E304" s="35">
        <f>(Fuentes!E1715/Fuentes!E$47)*100000</f>
        <v>1.5910776343957174</v>
      </c>
      <c r="F304" s="28">
        <f>(Fuentes!F1715/Fuentes!F$47)*100000</f>
        <v>1.6640543460572315</v>
      </c>
      <c r="G304" s="28">
        <f>(Fuentes!G1715/Fuentes!G$47)*100000</f>
        <v>2.6976101823223195</v>
      </c>
      <c r="H304" s="28">
        <f>(Fuentes!H1715/Fuentes!H$47)*100000</f>
        <v>2.0402121061441698</v>
      </c>
      <c r="I304" s="28">
        <f>(Fuentes!I1715/Fuentes!I$47)*100000</f>
        <v>2.2436952164417985</v>
      </c>
      <c r="J304" s="28">
        <f>(Fuentes!J1715/Fuentes!J$47)*100000</f>
        <v>1.9122705563324953</v>
      </c>
      <c r="K304" s="28">
        <f>(Fuentes!K1715/Fuentes!K$47)*100000</f>
        <v>1.7710809724596908</v>
      </c>
      <c r="L304" s="28">
        <f>(Fuentes!L1715/Fuentes!L$47)*100000</f>
        <v>1.9242227650320394</v>
      </c>
      <c r="M304" s="28">
        <f>(Fuentes!M1715/Fuentes!M$47)*100000</f>
        <v>1.6542071782004608</v>
      </c>
      <c r="N304" s="36">
        <f>(Fuentes!N1715/Fuentes!N$47)*100000</f>
        <v>1.5896703655174802</v>
      </c>
      <c r="O304" s="28">
        <f>(Fuentes!O1715/Fuentes!O$47)*100000</f>
        <v>1.3541249547818988</v>
      </c>
      <c r="P304" s="28">
        <f>(Fuentes!P1715/Fuentes!P$47)*100000</f>
        <v>2.270237148548194</v>
      </c>
      <c r="Q304" s="28">
        <f>(Fuentes!Q1715/Fuentes!Q$47)*100000</f>
        <v>1.8646088647695562</v>
      </c>
      <c r="R304" s="28">
        <f>(Fuentes!R1715/Fuentes!R$47)*100000</f>
        <v>3.5594354321516768</v>
      </c>
      <c r="S304" s="28">
        <f>(Fuentes!S1715/Fuentes!S$47)*100000</f>
        <v>3.0468029834949162</v>
      </c>
      <c r="T304" s="28">
        <f>(Fuentes!T1715/Fuentes!T$47)*100000</f>
        <v>3.6382150835950662</v>
      </c>
      <c r="U304" s="28">
        <f>(Fuentes!U1715/Fuentes!U$47)*100000</f>
        <v>2.9779791433533207</v>
      </c>
      <c r="V304" s="28">
        <f>(Fuentes!V1715/Fuentes!V$47)*100000</f>
        <v>4.5077114487369405</v>
      </c>
    </row>
    <row r="305" spans="1:22" s="14" customFormat="1" ht="12.75" x14ac:dyDescent="0.2">
      <c r="A305" s="28" t="s">
        <v>3198</v>
      </c>
      <c r="B305" s="29" t="s">
        <v>3291</v>
      </c>
      <c r="C305" s="29">
        <f>(Fuentes!C1716/Fuentes!C$47)*100000</f>
        <v>2.5824118642198829E-2</v>
      </c>
      <c r="D305" s="30">
        <f>(Fuentes!D1716/Fuentes!D$47)*100000</f>
        <v>5.0589455690339923E-2</v>
      </c>
      <c r="E305" s="35">
        <f>(Fuentes!E1716/Fuentes!E$47)*100000</f>
        <v>7.4581764112299248E-2</v>
      </c>
      <c r="F305" s="28">
        <f>(Fuentes!F1716/Fuentes!F$47)*100000</f>
        <v>2.4471387442018107E-2</v>
      </c>
      <c r="G305" s="28">
        <f>(Fuentes!G1716/Fuentes!G$47)*100000</f>
        <v>0</v>
      </c>
      <c r="H305" s="36">
        <f>(Fuentes!H1716/Fuentes!H$47)*100000</f>
        <v>2.3723396583071741E-2</v>
      </c>
      <c r="I305" s="28">
        <f>(Fuentes!I1716/Fuentes!I$47)*100000</f>
        <v>0</v>
      </c>
      <c r="J305" s="28">
        <f>(Fuentes!J1716/Fuentes!J$47)*100000</f>
        <v>0</v>
      </c>
      <c r="K305" s="28">
        <f>(Fuentes!K1716/Fuentes!K$47)*100000</f>
        <v>0</v>
      </c>
      <c r="L305" s="28">
        <f>(Fuentes!L1716/Fuentes!L$47)*100000</f>
        <v>0</v>
      </c>
      <c r="M305" s="28">
        <f>(Fuentes!M1716/Fuentes!M$47)*100000</f>
        <v>0</v>
      </c>
      <c r="N305" s="28">
        <f>(Fuentes!N1716/Fuentes!N$47)*100000</f>
        <v>2.1776306376951781E-2</v>
      </c>
      <c r="O305" s="28">
        <f>(Fuentes!O1716/Fuentes!O$47)*100000</f>
        <v>4.2988093802599964E-2</v>
      </c>
      <c r="P305" s="28">
        <f>(Fuentes!P1716/Fuentes!P$47)*100000</f>
        <v>0</v>
      </c>
      <c r="Q305" s="28">
        <f>(Fuentes!Q1716/Fuentes!Q$47)*100000</f>
        <v>0</v>
      </c>
      <c r="R305" s="28">
        <f>(Fuentes!R1716/Fuentes!R$47)*100000</f>
        <v>2.069439204739347E-2</v>
      </c>
      <c r="S305" s="28">
        <f>(Fuentes!S1716/Fuentes!S$47)*100000</f>
        <v>0</v>
      </c>
      <c r="T305" s="28">
        <f>(Fuentes!T1716/Fuentes!T$47)*100000</f>
        <v>0</v>
      </c>
      <c r="U305" s="28">
        <f>(Fuentes!U1716/Fuentes!U$47)*100000</f>
        <v>0</v>
      </c>
      <c r="V305" s="28">
        <f>(Fuentes!V1716/Fuentes!V$47)*100000</f>
        <v>0</v>
      </c>
    </row>
    <row r="306" spans="1:22" s="14" customFormat="1" ht="12.75" x14ac:dyDescent="0.2">
      <c r="A306" s="28" t="s">
        <v>3198</v>
      </c>
      <c r="B306" s="29" t="s">
        <v>3292</v>
      </c>
      <c r="C306" s="29">
        <f>(Fuentes!C1717/Fuentes!C$47)*100000</f>
        <v>7.0499843893202812</v>
      </c>
      <c r="D306" s="30">
        <f>(Fuentes!D1717/Fuentes!D$47)*100000</f>
        <v>5.6407243094729012</v>
      </c>
      <c r="E306" s="35">
        <f>(Fuentes!E1717/Fuentes!E$47)*100000</f>
        <v>6.8615222983315318</v>
      </c>
      <c r="F306" s="28">
        <f>(Fuentes!F1717/Fuentes!F$47)*100000</f>
        <v>7.3169448451634134</v>
      </c>
      <c r="G306" s="28">
        <f>(Fuentes!G1717/Fuentes!G$47)*100000</f>
        <v>6.9848835077988634</v>
      </c>
      <c r="H306" s="28">
        <f>(Fuentes!H1717/Fuentes!H$47)*100000</f>
        <v>6.8560616125077347</v>
      </c>
      <c r="I306" s="28">
        <f>(Fuentes!I1717/Fuentes!I$47)*100000</f>
        <v>6.6843419989828581</v>
      </c>
      <c r="J306" s="28">
        <f>(Fuentes!J1717/Fuentes!J$47)*100000</f>
        <v>7.0730971180009172</v>
      </c>
      <c r="K306" s="28">
        <f>(Fuentes!K1717/Fuentes!K$47)*100000</f>
        <v>7.1297362224659357</v>
      </c>
      <c r="L306" s="28">
        <f>(Fuentes!L1717/Fuentes!L$47)*100000</f>
        <v>7.5178935936135494</v>
      </c>
      <c r="M306" s="28">
        <f>(Fuentes!M1717/Fuentes!M$47)*100000</f>
        <v>3.6613118877503532</v>
      </c>
      <c r="N306" s="36">
        <f>(Fuentes!N1717/Fuentes!N$47)*100000</f>
        <v>2.7002619907420211</v>
      </c>
      <c r="O306" s="28">
        <f>(Fuentes!O1717/Fuentes!O$47)*100000</f>
        <v>0.40838689112469967</v>
      </c>
      <c r="P306" s="28">
        <f>(Fuentes!P1717/Fuentes!P$47)*100000</f>
        <v>0</v>
      </c>
      <c r="Q306" s="28">
        <f>(Fuentes!Q1717/Fuentes!Q$47)*100000</f>
        <v>0</v>
      </c>
      <c r="R306" s="28">
        <f>(Fuentes!R1717/Fuentes!R$47)*100000</f>
        <v>0.10347196023696735</v>
      </c>
      <c r="S306" s="28">
        <f>(Fuentes!S1717/Fuentes!S$47)*100000</f>
        <v>0</v>
      </c>
      <c r="T306" s="28">
        <f>(Fuentes!T1717/Fuentes!T$47)*100000</f>
        <v>0.26275997825964365</v>
      </c>
      <c r="U306" s="28">
        <f>(Fuentes!U1717/Fuentes!U$47)*100000</f>
        <v>0</v>
      </c>
      <c r="V306" s="28">
        <f>(Fuentes!V1717/Fuentes!V$47)*100000</f>
        <v>0</v>
      </c>
    </row>
    <row r="307" spans="1:22" s="14" customFormat="1" ht="12.75" x14ac:dyDescent="0.2">
      <c r="A307" s="28" t="s">
        <v>3198</v>
      </c>
      <c r="B307" s="29" t="s">
        <v>3293</v>
      </c>
      <c r="C307" s="29">
        <f>(Fuentes!C1718/Fuentes!C$47)*100000</f>
        <v>0</v>
      </c>
      <c r="D307" s="30">
        <f>(Fuentes!D1718/Fuentes!D$47)*100000</f>
        <v>0</v>
      </c>
      <c r="E307" s="35">
        <f>(Fuentes!E1718/Fuentes!E$47)*100000</f>
        <v>0</v>
      </c>
      <c r="F307" s="28">
        <f>(Fuentes!F1718/Fuentes!F$47)*100000</f>
        <v>0</v>
      </c>
      <c r="G307" s="28">
        <f>(Fuentes!G1718/Fuentes!G$47)*100000</f>
        <v>0</v>
      </c>
      <c r="H307" s="36">
        <f>(Fuentes!H1718/Fuentes!H$47)*100000</f>
        <v>0</v>
      </c>
      <c r="I307" s="28">
        <f>(Fuentes!I1718/Fuentes!I$47)*100000</f>
        <v>0</v>
      </c>
      <c r="J307" s="28">
        <f>(Fuentes!J1718/Fuentes!J$47)*100000</f>
        <v>0</v>
      </c>
      <c r="K307" s="28">
        <f>(Fuentes!K1718/Fuentes!K$47)*100000</f>
        <v>0</v>
      </c>
      <c r="L307" s="28">
        <f>(Fuentes!L1718/Fuentes!L$47)*100000</f>
        <v>0</v>
      </c>
      <c r="M307" s="28">
        <f>(Fuentes!M1718/Fuentes!M$47)*100000</f>
        <v>5.07290201314808</v>
      </c>
      <c r="N307" s="28">
        <f>(Fuentes!N1718/Fuentes!N$47)*100000</f>
        <v>5.8578264154000292</v>
      </c>
      <c r="O307" s="28">
        <f>(Fuentes!O1718/Fuentes!O$47)*100000</f>
        <v>6.2977557420808949</v>
      </c>
      <c r="P307" s="28">
        <f>(Fuentes!P1718/Fuentes!P$47)*100000</f>
        <v>6.5136710710681829</v>
      </c>
      <c r="Q307" s="28">
        <f>(Fuentes!Q1718/Fuentes!Q$47)*100000</f>
        <v>5.7614318855239102</v>
      </c>
      <c r="R307" s="28">
        <f>(Fuentes!R1718/Fuentes!R$47)*100000</f>
        <v>6.6428998472133038</v>
      </c>
      <c r="S307" s="28">
        <f>(Fuentes!S1718/Fuentes!S$47)*100000</f>
        <v>7.0546780490318532</v>
      </c>
      <c r="T307" s="28">
        <f>(Fuentes!T1718/Fuentes!T$47)*100000</f>
        <v>6.831759434750734</v>
      </c>
      <c r="U307" s="28">
        <f>(Fuentes!U1718/Fuentes!U$47)*100000</f>
        <v>6.8353615236700369</v>
      </c>
      <c r="V307" s="28">
        <f>(Fuentes!V1718/Fuentes!V$47)*100000</f>
        <v>7.097668465335798</v>
      </c>
    </row>
    <row r="308" spans="1:22" s="14" customFormat="1" ht="12.75" x14ac:dyDescent="0.2">
      <c r="A308" s="28" t="s">
        <v>3198</v>
      </c>
      <c r="B308" s="29" t="s">
        <v>3294</v>
      </c>
      <c r="C308" s="29">
        <f>(Fuentes!C1719/Fuentes!C$47)*100000</f>
        <v>6.9983361520358827</v>
      </c>
      <c r="D308" s="30">
        <f>(Fuentes!D1719/Fuentes!D$47)*100000</f>
        <v>7.4619447143251376</v>
      </c>
      <c r="E308" s="35">
        <f>(Fuentes!E1719/Fuentes!E$47)*100000</f>
        <v>8.253715228427783</v>
      </c>
      <c r="F308" s="28">
        <f>(Fuentes!F1719/Fuentes!F$47)*100000</f>
        <v>8.3936858926122095</v>
      </c>
      <c r="G308" s="28">
        <f>(Fuentes!G1719/Fuentes!G$47)*100000</f>
        <v>7.8038008845752813</v>
      </c>
      <c r="H308" s="28">
        <f>(Fuentes!H1719/Fuentes!H$47)*100000</f>
        <v>8.2794654074920384</v>
      </c>
      <c r="I308" s="28">
        <f>(Fuentes!I1719/Fuentes!I$47)*100000</f>
        <v>7.6893304813474144</v>
      </c>
      <c r="J308" s="28">
        <f>(Fuentes!J1719/Fuentes!J$47)*100000</f>
        <v>10.02214086752573</v>
      </c>
      <c r="K308" s="28">
        <f>(Fuentes!K1719/Fuentes!K$47)*100000</f>
        <v>10.740016666326074</v>
      </c>
      <c r="L308" s="28">
        <f>(Fuentes!L1719/Fuentes!L$47)*100000</f>
        <v>10.85172140744813</v>
      </c>
      <c r="M308" s="28">
        <f>(Fuentes!M1719/Fuentes!M$47)*100000</f>
        <v>10.211972313424178</v>
      </c>
      <c r="N308" s="36">
        <f>(Fuentes!N1719/Fuentes!N$47)*100000</f>
        <v>9.9517720142669646</v>
      </c>
      <c r="O308" s="28">
        <f>(Fuentes!O1719/Fuentes!O$47)*100000</f>
        <v>9.1994520737563921</v>
      </c>
      <c r="P308" s="28">
        <f>(Fuentes!P1719/Fuentes!P$47)*100000</f>
        <v>8.1473931312383776</v>
      </c>
      <c r="Q308" s="28">
        <f>(Fuentes!Q1719/Fuentes!Q$47)*100000</f>
        <v>8.5478698519772927</v>
      </c>
      <c r="R308" s="28">
        <f>(Fuentes!R1719/Fuentes!R$47)*100000</f>
        <v>9.1676156769953057</v>
      </c>
      <c r="S308" s="28">
        <f>(Fuentes!S1719/Fuentes!S$47)*100000</f>
        <v>9.896997610815701</v>
      </c>
      <c r="T308" s="28">
        <f>(Fuentes!T1719/Fuentes!T$47)*100000</f>
        <v>8.8125654247080494</v>
      </c>
      <c r="U308" s="28">
        <f>(Fuentes!U1719/Fuentes!U$47)*100000</f>
        <v>8.8340052440413928</v>
      </c>
      <c r="V308" s="28">
        <f>(Fuentes!V1719/Fuentes!V$47)*100000</f>
        <v>5.5555566539257919</v>
      </c>
    </row>
    <row r="309" spans="1:22" s="14" customFormat="1" ht="12.75" x14ac:dyDescent="0.2">
      <c r="A309" s="28" t="s">
        <v>3198</v>
      </c>
      <c r="B309" s="29" t="s">
        <v>3295</v>
      </c>
      <c r="C309" s="29">
        <f>(Fuentes!C1720/Fuentes!C$47)*100000</f>
        <v>0</v>
      </c>
      <c r="D309" s="30">
        <f>(Fuentes!D1720/Fuentes!D$47)*100000</f>
        <v>0</v>
      </c>
      <c r="E309" s="35">
        <f>(Fuentes!E1720/Fuentes!E$47)*100000</f>
        <v>0</v>
      </c>
      <c r="F309" s="28">
        <f>(Fuentes!F1720/Fuentes!F$47)*100000</f>
        <v>0</v>
      </c>
      <c r="G309" s="28">
        <f>(Fuentes!G1720/Fuentes!G$47)*100000</f>
        <v>0</v>
      </c>
      <c r="H309" s="36">
        <f>(Fuentes!H1720/Fuentes!H$47)*100000</f>
        <v>0</v>
      </c>
      <c r="I309" s="28">
        <f>(Fuentes!I1720/Fuentes!I$47)*100000</f>
        <v>0</v>
      </c>
      <c r="J309" s="28">
        <f>(Fuentes!J1720/Fuentes!J$47)*100000</f>
        <v>0</v>
      </c>
      <c r="K309" s="28">
        <f>(Fuentes!K1720/Fuentes!K$47)*100000</f>
        <v>0</v>
      </c>
      <c r="L309" s="28">
        <f>(Fuentes!L1720/Fuentes!L$47)*100000</f>
        <v>0</v>
      </c>
      <c r="M309" s="28">
        <f>(Fuentes!M1720/Fuentes!M$47)*100000</f>
        <v>0</v>
      </c>
      <c r="N309" s="28">
        <f>(Fuentes!N1720/Fuentes!N$47)*100000</f>
        <v>0</v>
      </c>
      <c r="O309" s="28">
        <f>(Fuentes!O1720/Fuentes!O$47)*100000</f>
        <v>0</v>
      </c>
      <c r="P309" s="28">
        <f>(Fuentes!P1720/Fuentes!P$47)*100000</f>
        <v>2.1217169612599944E-2</v>
      </c>
      <c r="Q309" s="28">
        <f>(Fuentes!Q1720/Fuentes!Q$47)*100000</f>
        <v>0</v>
      </c>
      <c r="R309" s="28">
        <f>(Fuentes!R1720/Fuentes!R$47)*100000</f>
        <v>0</v>
      </c>
      <c r="S309" s="28">
        <f>(Fuentes!S1720/Fuentes!S$47)*100000</f>
        <v>0</v>
      </c>
      <c r="T309" s="28">
        <f>(Fuentes!T1720/Fuentes!T$47)*100000</f>
        <v>0</v>
      </c>
      <c r="U309" s="28">
        <f>(Fuentes!U1720/Fuentes!U$47)*100000</f>
        <v>0</v>
      </c>
      <c r="V309" s="28">
        <f>(Fuentes!V1720/Fuentes!V$47)*100000</f>
        <v>3.9541328497692464E-2</v>
      </c>
    </row>
    <row r="310" spans="1:22" s="14" customFormat="1" ht="12.75" x14ac:dyDescent="0.2">
      <c r="A310" s="28" t="s">
        <v>3198</v>
      </c>
      <c r="B310" s="29" t="s">
        <v>3296</v>
      </c>
      <c r="C310" s="29">
        <f>(Fuentes!C1721/Fuentes!C$47)*100000</f>
        <v>2.5824118642198829E-2</v>
      </c>
      <c r="D310" s="30">
        <f>(Fuentes!D1721/Fuentes!D$47)*100000</f>
        <v>0</v>
      </c>
      <c r="E310" s="35">
        <f>(Fuentes!E1721/Fuentes!E$47)*100000</f>
        <v>0</v>
      </c>
      <c r="F310" s="28">
        <f>(Fuentes!F1721/Fuentes!F$47)*100000</f>
        <v>0</v>
      </c>
      <c r="G310" s="28">
        <f>(Fuentes!G1721/Fuentes!G$47)*100000</f>
        <v>0</v>
      </c>
      <c r="H310" s="28">
        <f>(Fuentes!H1721/Fuentes!H$47)*100000</f>
        <v>2.3723396583071741E-2</v>
      </c>
      <c r="I310" s="28">
        <f>(Fuentes!I1721/Fuentes!I$47)*100000</f>
        <v>4.6743650342537468E-2</v>
      </c>
      <c r="J310" s="28">
        <f>(Fuentes!J1721/Fuentes!J$47)*100000</f>
        <v>0</v>
      </c>
      <c r="K310" s="28">
        <f>(Fuentes!K1721/Fuentes!K$47)*100000</f>
        <v>2.2706166313585782E-2</v>
      </c>
      <c r="L310" s="28">
        <f>(Fuentes!L1721/Fuentes!L$47)*100000</f>
        <v>4.4749366628652081E-2</v>
      </c>
      <c r="M310" s="28">
        <f>(Fuentes!M1721/Fuentes!M$47)*100000</f>
        <v>0</v>
      </c>
      <c r="N310" s="36">
        <f>(Fuentes!N1721/Fuentes!N$47)*100000</f>
        <v>0</v>
      </c>
      <c r="O310" s="28">
        <f>(Fuentes!O1721/Fuentes!O$47)*100000</f>
        <v>2.1494046901299982E-2</v>
      </c>
      <c r="P310" s="28">
        <f>(Fuentes!P1721/Fuentes!P$47)*100000</f>
        <v>0</v>
      </c>
      <c r="Q310" s="28">
        <f>(Fuentes!Q1721/Fuentes!Q$47)*100000</f>
        <v>8.3802645607620518E-2</v>
      </c>
      <c r="R310" s="28">
        <f>(Fuentes!R1721/Fuentes!R$47)*100000</f>
        <v>0</v>
      </c>
      <c r="S310" s="28">
        <f>(Fuentes!S1721/Fuentes!S$47)*100000</f>
        <v>2.0448342171106821E-2</v>
      </c>
      <c r="T310" s="28">
        <f>(Fuentes!T1721/Fuentes!T$47)*100000</f>
        <v>2.0212306019972589E-2</v>
      </c>
      <c r="U310" s="28">
        <f>(Fuentes!U1721/Fuentes!U$47)*100000</f>
        <v>0</v>
      </c>
      <c r="V310" s="28">
        <f>(Fuentes!V1721/Fuentes!V$47)*100000</f>
        <v>1.9770664248846232E-2</v>
      </c>
    </row>
    <row r="311" spans="1:22" s="14" customFormat="1" ht="12.75" x14ac:dyDescent="0.2">
      <c r="A311" s="28" t="s">
        <v>3198</v>
      </c>
      <c r="B311" s="29" t="s">
        <v>3297</v>
      </c>
      <c r="C311" s="29">
        <f>(Fuentes!C1722/Fuentes!C$47)*100000</f>
        <v>2.5824118642198829E-2</v>
      </c>
      <c r="D311" s="30">
        <f>(Fuentes!D1722/Fuentes!D$47)*100000</f>
        <v>0</v>
      </c>
      <c r="E311" s="35">
        <f>(Fuentes!E1722/Fuentes!E$47)*100000</f>
        <v>0</v>
      </c>
      <c r="F311" s="28">
        <f>(Fuentes!F1722/Fuentes!F$47)*100000</f>
        <v>0</v>
      </c>
      <c r="G311" s="28">
        <f>(Fuentes!G1722/Fuentes!G$47)*100000</f>
        <v>0</v>
      </c>
      <c r="H311" s="36">
        <f>(Fuentes!H1722/Fuentes!H$47)*100000</f>
        <v>2.3723396583071741E-2</v>
      </c>
      <c r="I311" s="28">
        <f>(Fuentes!I1722/Fuentes!I$47)*100000</f>
        <v>0</v>
      </c>
      <c r="J311" s="28">
        <f>(Fuentes!J1722/Fuentes!J$47)*100000</f>
        <v>0</v>
      </c>
      <c r="K311" s="28">
        <f>(Fuentes!K1722/Fuentes!K$47)*100000</f>
        <v>0</v>
      </c>
      <c r="L311" s="28">
        <f>(Fuentes!L1722/Fuentes!L$47)*100000</f>
        <v>2.237468331432604E-2</v>
      </c>
      <c r="M311" s="28">
        <f>(Fuentes!M1722/Fuentes!M$47)*100000</f>
        <v>0</v>
      </c>
      <c r="N311" s="28">
        <f>(Fuentes!N1722/Fuentes!N$47)*100000</f>
        <v>0</v>
      </c>
      <c r="O311" s="28">
        <f>(Fuentes!O1722/Fuentes!O$47)*100000</f>
        <v>2.1494046901299982E-2</v>
      </c>
      <c r="P311" s="28">
        <f>(Fuentes!P1722/Fuentes!P$47)*100000</f>
        <v>0</v>
      </c>
      <c r="Q311" s="28">
        <f>(Fuentes!Q1722/Fuentes!Q$47)*100000</f>
        <v>0</v>
      </c>
      <c r="R311" s="28">
        <f>(Fuentes!R1722/Fuentes!R$47)*100000</f>
        <v>0</v>
      </c>
      <c r="S311" s="28">
        <f>(Fuentes!S1722/Fuentes!S$47)*100000</f>
        <v>2.0448342171106821E-2</v>
      </c>
      <c r="T311" s="28">
        <f>(Fuentes!T1722/Fuentes!T$47)*100000</f>
        <v>0</v>
      </c>
      <c r="U311" s="28">
        <f>(Fuentes!U1722/Fuentes!U$47)*100000</f>
        <v>0</v>
      </c>
      <c r="V311" s="28">
        <f>(Fuentes!V1722/Fuentes!V$47)*100000</f>
        <v>0</v>
      </c>
    </row>
    <row r="312" spans="1:22" s="14" customFormat="1" ht="12.75" x14ac:dyDescent="0.2">
      <c r="A312" s="28" t="s">
        <v>3198</v>
      </c>
      <c r="B312" s="29" t="s">
        <v>3298</v>
      </c>
      <c r="C312" s="29">
        <f>(Fuentes!C1723/Fuentes!C$47)*100000</f>
        <v>0</v>
      </c>
      <c r="D312" s="30">
        <f>(Fuentes!D1723/Fuentes!D$47)*100000</f>
        <v>0</v>
      </c>
      <c r="E312" s="35">
        <f>(Fuentes!E1723/Fuentes!E$47)*100000</f>
        <v>0</v>
      </c>
      <c r="F312" s="28">
        <f>(Fuentes!F1723/Fuentes!F$47)*100000</f>
        <v>0</v>
      </c>
      <c r="G312" s="28">
        <f>(Fuentes!G1723/Fuentes!G$47)*100000</f>
        <v>0</v>
      </c>
      <c r="H312" s="28">
        <f>(Fuentes!H1723/Fuentes!H$47)*100000</f>
        <v>0</v>
      </c>
      <c r="I312" s="28">
        <f>(Fuentes!I1723/Fuentes!I$47)*100000</f>
        <v>0</v>
      </c>
      <c r="J312" s="28">
        <f>(Fuentes!J1723/Fuentes!J$47)*100000</f>
        <v>0</v>
      </c>
      <c r="K312" s="28">
        <f>(Fuentes!K1723/Fuentes!K$47)*100000</f>
        <v>0</v>
      </c>
      <c r="L312" s="28">
        <f>(Fuentes!L1723/Fuentes!L$47)*100000</f>
        <v>0</v>
      </c>
      <c r="M312" s="28">
        <f>(Fuentes!M1723/Fuentes!M$47)*100000</f>
        <v>0</v>
      </c>
      <c r="N312" s="36">
        <f>(Fuentes!N1723/Fuentes!N$47)*100000</f>
        <v>0</v>
      </c>
      <c r="O312" s="28">
        <f>(Fuentes!O1723/Fuentes!O$47)*100000</f>
        <v>0</v>
      </c>
      <c r="P312" s="28">
        <f>(Fuentes!P1723/Fuentes!P$47)*100000</f>
        <v>0</v>
      </c>
      <c r="Q312" s="28">
        <f>(Fuentes!Q1723/Fuentes!Q$47)*100000</f>
        <v>4.1901322803810259E-2</v>
      </c>
      <c r="R312" s="28">
        <f>(Fuentes!R1723/Fuentes!R$47)*100000</f>
        <v>0</v>
      </c>
      <c r="S312" s="28">
        <f>(Fuentes!S1723/Fuentes!S$47)*100000</f>
        <v>0</v>
      </c>
      <c r="T312" s="28">
        <f>(Fuentes!T1723/Fuentes!T$47)*100000</f>
        <v>0</v>
      </c>
      <c r="U312" s="28">
        <f>(Fuentes!U1723/Fuentes!U$47)*100000</f>
        <v>0</v>
      </c>
      <c r="V312" s="28">
        <f>(Fuentes!V1723/Fuentes!V$47)*100000</f>
        <v>0</v>
      </c>
    </row>
    <row r="313" spans="1:22" s="14" customFormat="1" ht="12.75" x14ac:dyDescent="0.2">
      <c r="A313" s="28" t="s">
        <v>3198</v>
      </c>
      <c r="B313" s="29" t="s">
        <v>3299</v>
      </c>
      <c r="C313" s="29">
        <f>(Fuentes!C1724/Fuentes!C$47)*100000</f>
        <v>0</v>
      </c>
      <c r="D313" s="30">
        <f>(Fuentes!D1724/Fuentes!D$47)*100000</f>
        <v>0</v>
      </c>
      <c r="E313" s="35">
        <f>(Fuentes!E1724/Fuentes!E$47)*100000</f>
        <v>0</v>
      </c>
      <c r="F313" s="28">
        <f>(Fuentes!F1724/Fuentes!F$47)*100000</f>
        <v>0</v>
      </c>
      <c r="G313" s="28">
        <f>(Fuentes!G1724/Fuentes!G$47)*100000</f>
        <v>0</v>
      </c>
      <c r="H313" s="36">
        <f>(Fuentes!H1724/Fuentes!H$47)*100000</f>
        <v>0</v>
      </c>
      <c r="I313" s="28">
        <f>(Fuentes!I1724/Fuentes!I$47)*100000</f>
        <v>4.6743650342537468E-2</v>
      </c>
      <c r="J313" s="28">
        <f>(Fuentes!J1724/Fuentes!J$47)*100000</f>
        <v>0</v>
      </c>
      <c r="K313" s="28">
        <f>(Fuentes!K1724/Fuentes!K$47)*100000</f>
        <v>2.2706166313585782E-2</v>
      </c>
      <c r="L313" s="28">
        <f>(Fuentes!L1724/Fuentes!L$47)*100000</f>
        <v>2.237468331432604E-2</v>
      </c>
      <c r="M313" s="28">
        <f>(Fuentes!M1724/Fuentes!M$47)*100000</f>
        <v>0</v>
      </c>
      <c r="N313" s="28">
        <f>(Fuentes!N1724/Fuentes!N$47)*100000</f>
        <v>0</v>
      </c>
      <c r="O313" s="28">
        <f>(Fuentes!O1724/Fuentes!O$47)*100000</f>
        <v>0</v>
      </c>
      <c r="P313" s="28">
        <f>(Fuentes!P1724/Fuentes!P$47)*100000</f>
        <v>0</v>
      </c>
      <c r="Q313" s="28">
        <f>(Fuentes!Q1724/Fuentes!Q$47)*100000</f>
        <v>0</v>
      </c>
      <c r="R313" s="28">
        <f>(Fuentes!R1724/Fuentes!R$47)*100000</f>
        <v>0</v>
      </c>
      <c r="S313" s="28">
        <f>(Fuentes!S1724/Fuentes!S$47)*100000</f>
        <v>0</v>
      </c>
      <c r="T313" s="28">
        <f>(Fuentes!T1724/Fuentes!T$47)*100000</f>
        <v>0</v>
      </c>
      <c r="U313" s="28">
        <f>(Fuentes!U1724/Fuentes!U$47)*100000</f>
        <v>0</v>
      </c>
      <c r="V313" s="28">
        <f>(Fuentes!V1724/Fuentes!V$47)*100000</f>
        <v>1.9770664248846232E-2</v>
      </c>
    </row>
    <row r="314" spans="1:22" s="14" customFormat="1" ht="12.75" x14ac:dyDescent="0.2">
      <c r="A314" s="28" t="s">
        <v>3198</v>
      </c>
      <c r="B314" s="29" t="s">
        <v>3300</v>
      </c>
      <c r="C314" s="29">
        <f>(Fuentes!C1725/Fuentes!C$47)*100000</f>
        <v>0</v>
      </c>
      <c r="D314" s="30">
        <f>(Fuentes!D1725/Fuentes!D$47)*100000</f>
        <v>0</v>
      </c>
      <c r="E314" s="35">
        <f>(Fuentes!E1725/Fuentes!E$47)*100000</f>
        <v>0</v>
      </c>
      <c r="F314" s="28">
        <f>(Fuentes!F1725/Fuentes!F$47)*100000</f>
        <v>0</v>
      </c>
      <c r="G314" s="28">
        <f>(Fuentes!G1725/Fuentes!G$47)*100000</f>
        <v>0</v>
      </c>
      <c r="H314" s="28">
        <f>(Fuentes!H1725/Fuentes!H$47)*100000</f>
        <v>0</v>
      </c>
      <c r="I314" s="28">
        <f>(Fuentes!I1725/Fuentes!I$47)*100000</f>
        <v>0</v>
      </c>
      <c r="J314" s="28">
        <f>(Fuentes!J1725/Fuentes!J$47)*100000</f>
        <v>0</v>
      </c>
      <c r="K314" s="28">
        <f>(Fuentes!K1725/Fuentes!K$47)*100000</f>
        <v>0</v>
      </c>
      <c r="L314" s="28">
        <f>(Fuentes!L1725/Fuentes!L$47)*100000</f>
        <v>0</v>
      </c>
      <c r="M314" s="28">
        <f>(Fuentes!M1725/Fuentes!M$47)*100000</f>
        <v>0</v>
      </c>
      <c r="N314" s="36">
        <f>(Fuentes!N1725/Fuentes!N$47)*100000</f>
        <v>0</v>
      </c>
      <c r="O314" s="28">
        <f>(Fuentes!O1725/Fuentes!O$47)*100000</f>
        <v>0</v>
      </c>
      <c r="P314" s="28">
        <f>(Fuentes!P1725/Fuentes!P$47)*100000</f>
        <v>0</v>
      </c>
      <c r="Q314" s="28">
        <f>(Fuentes!Q1725/Fuentes!Q$47)*100000</f>
        <v>4.1901322803810259E-2</v>
      </c>
      <c r="R314" s="28">
        <f>(Fuentes!R1725/Fuentes!R$47)*100000</f>
        <v>0</v>
      </c>
      <c r="S314" s="28">
        <f>(Fuentes!S1725/Fuentes!S$47)*100000</f>
        <v>0</v>
      </c>
      <c r="T314" s="28">
        <f>(Fuentes!T1725/Fuentes!T$47)*100000</f>
        <v>2.0212306019972589E-2</v>
      </c>
      <c r="U314" s="28">
        <f>(Fuentes!U1725/Fuentes!U$47)*100000</f>
        <v>0</v>
      </c>
      <c r="V314" s="28">
        <f>(Fuentes!V1725/Fuentes!V$47)*100000</f>
        <v>0</v>
      </c>
    </row>
    <row r="315" spans="1:22" s="14" customFormat="1" ht="12.75" x14ac:dyDescent="0.2">
      <c r="A315" s="28" t="s">
        <v>3198</v>
      </c>
      <c r="B315" s="29" t="s">
        <v>3301</v>
      </c>
      <c r="C315" s="29">
        <f>(Fuentes!C1726/Fuentes!C$47)*100000</f>
        <v>25.617525693061239</v>
      </c>
      <c r="D315" s="30">
        <f>(Fuentes!D1726/Fuentes!D$47)*100000</f>
        <v>23.625275807388739</v>
      </c>
      <c r="E315" s="35">
        <f>(Fuentes!E1726/Fuentes!E$47)*100000</f>
        <v>25.929593323042706</v>
      </c>
      <c r="F315" s="28">
        <f>(Fuentes!F1726/Fuentes!F$47)*100000</f>
        <v>25.792842363887083</v>
      </c>
      <c r="G315" s="28">
        <f>(Fuentes!G1726/Fuentes!G$47)*100000</f>
        <v>22.977858160138329</v>
      </c>
      <c r="H315" s="36">
        <f>(Fuentes!H1726/Fuentes!H$47)*100000</f>
        <v>21.279886735015356</v>
      </c>
      <c r="I315" s="28">
        <f>(Fuentes!I1726/Fuentes!I$47)*100000</f>
        <v>21.969515660992613</v>
      </c>
      <c r="J315" s="28">
        <f>(Fuentes!J1726/Fuentes!J$47)*100000</f>
        <v>23.039404293162594</v>
      </c>
      <c r="K315" s="28">
        <f>(Fuentes!K1726/Fuentes!K$47)*100000</f>
        <v>24.295597955536785</v>
      </c>
      <c r="L315" s="28">
        <f>(Fuentes!L1726/Fuentes!L$47)*100000</f>
        <v>27.766981993078616</v>
      </c>
      <c r="M315" s="28">
        <f>(Fuentes!M1726/Fuentes!M$47)*100000</f>
        <v>25.452734448577758</v>
      </c>
      <c r="N315" s="28">
        <f>(Fuentes!N1726/Fuentes!N$47)*100000</f>
        <v>23.126437372322794</v>
      </c>
      <c r="O315" s="28">
        <f>(Fuentes!O1726/Fuentes!O$47)*100000</f>
        <v>21.300600479188279</v>
      </c>
      <c r="P315" s="28">
        <f>(Fuentes!P1726/Fuentes!P$47)*100000</f>
        <v>25.884946927371928</v>
      </c>
      <c r="Q315" s="28">
        <f>(Fuentes!Q1726/Fuentes!Q$47)*100000</f>
        <v>25.999770799764264</v>
      </c>
      <c r="R315" s="28">
        <f>(Fuentes!R1726/Fuentes!R$47)*100000</f>
        <v>30.441450701715794</v>
      </c>
      <c r="S315" s="28">
        <f>(Fuentes!S1726/Fuentes!S$47)*100000</f>
        <v>30.324891439751415</v>
      </c>
      <c r="T315" s="28">
        <f>(Fuentes!T1726/Fuentes!T$47)*100000</f>
        <v>27.044065454723324</v>
      </c>
      <c r="U315" s="28">
        <f>(Fuentes!U1726/Fuentes!U$47)*100000</f>
        <v>29.579927061496068</v>
      </c>
      <c r="V315" s="28">
        <f>(Fuentes!V1726/Fuentes!V$47)*100000</f>
        <v>42.38830414952632</v>
      </c>
    </row>
    <row r="316" spans="1:22" s="14" customFormat="1" ht="12.75" x14ac:dyDescent="0.2">
      <c r="A316" s="28" t="s">
        <v>3198</v>
      </c>
      <c r="B316" s="29" t="s">
        <v>3302</v>
      </c>
      <c r="C316" s="29">
        <f>(Fuentes!C1727/Fuentes!C$47)*100000</f>
        <v>0.43901001691738017</v>
      </c>
      <c r="D316" s="30">
        <f>(Fuentes!D1727/Fuentes!D$47)*100000</f>
        <v>0.35412618983237942</v>
      </c>
      <c r="E316" s="35">
        <f>(Fuentes!E1727/Fuentes!E$47)*100000</f>
        <v>0.6712358770106932</v>
      </c>
      <c r="F316" s="28">
        <f>(Fuentes!F1727/Fuentes!F$47)*100000</f>
        <v>0.68519884837650691</v>
      </c>
      <c r="G316" s="28">
        <f>(Fuentes!G1727/Fuentes!G$47)*100000</f>
        <v>0.4576302987868221</v>
      </c>
      <c r="H316" s="28">
        <f>(Fuentes!H1727/Fuentes!H$47)*100000</f>
        <v>0.47446793166143486</v>
      </c>
      <c r="I316" s="28">
        <f>(Fuentes!I1727/Fuentes!I$47)*100000</f>
        <v>0.35057737756903101</v>
      </c>
      <c r="J316" s="28">
        <f>(Fuentes!J1727/Fuentes!J$47)*100000</f>
        <v>0.23039404293162596</v>
      </c>
      <c r="K316" s="28">
        <f>(Fuentes!K1727/Fuentes!K$47)*100000</f>
        <v>0.24976782944944356</v>
      </c>
      <c r="L316" s="28">
        <f>(Fuentes!L1727/Fuentes!L$47)*100000</f>
        <v>0.87261264925871562</v>
      </c>
      <c r="M316" s="28">
        <f>(Fuentes!M1727/Fuentes!M$47)*100000</f>
        <v>0.48523410560546854</v>
      </c>
      <c r="N316" s="36">
        <f>(Fuentes!N1727/Fuentes!N$47)*100000</f>
        <v>0.43552612753903569</v>
      </c>
      <c r="O316" s="28">
        <f>(Fuentes!O1727/Fuentes!O$47)*100000</f>
        <v>0.36539879732209968</v>
      </c>
      <c r="P316" s="28">
        <f>(Fuentes!P1727/Fuentes!P$47)*100000</f>
        <v>0.3394747138015991</v>
      </c>
      <c r="Q316" s="28">
        <f>(Fuentes!Q1727/Fuentes!Q$47)*100000</f>
        <v>0.31425992102857692</v>
      </c>
      <c r="R316" s="28">
        <f>(Fuentes!R1727/Fuentes!R$47)*100000</f>
        <v>0.57944297732701711</v>
      </c>
      <c r="S316" s="28">
        <f>(Fuentes!S1727/Fuentes!S$47)*100000</f>
        <v>0.49076021210656362</v>
      </c>
      <c r="T316" s="28">
        <f>(Fuentes!T1727/Fuentes!T$47)*100000</f>
        <v>0.68721840467906803</v>
      </c>
      <c r="U316" s="28">
        <f>(Fuentes!U1727/Fuentes!U$47)*100000</f>
        <v>0.51964736729655259</v>
      </c>
      <c r="V316" s="28">
        <f>(Fuentes!V1727/Fuentes!V$47)*100000</f>
        <v>0.53380793471884824</v>
      </c>
    </row>
    <row r="317" spans="1:22" s="14" customFormat="1" ht="12.75" x14ac:dyDescent="0.2">
      <c r="A317" s="28" t="s">
        <v>3198</v>
      </c>
      <c r="B317" s="29" t="s">
        <v>3303</v>
      </c>
      <c r="C317" s="29">
        <f>(Fuentes!C1728/Fuentes!C$47)*100000</f>
        <v>0.10329647456879532</v>
      </c>
      <c r="D317" s="30">
        <f>(Fuentes!D1728/Fuentes!D$47)*100000</f>
        <v>0.15176836707101973</v>
      </c>
      <c r="E317" s="35">
        <f>(Fuentes!E1728/Fuentes!E$47)*100000</f>
        <v>0.22374529233689774</v>
      </c>
      <c r="F317" s="28">
        <f>(Fuentes!F1728/Fuentes!F$47)*100000</f>
        <v>0.46495636139834401</v>
      </c>
      <c r="G317" s="28">
        <f>(Fuentes!G1728/Fuentes!G$47)*100000</f>
        <v>0.26494385719237068</v>
      </c>
      <c r="H317" s="36">
        <f>(Fuentes!H1728/Fuentes!H$47)*100000</f>
        <v>0.28468075899686091</v>
      </c>
      <c r="I317" s="28">
        <f>(Fuentes!I1728/Fuentes!I$47)*100000</f>
        <v>0.16360277619888117</v>
      </c>
      <c r="J317" s="28">
        <f>(Fuentes!J1728/Fuentes!J$47)*100000</f>
        <v>0.13823642575897557</v>
      </c>
      <c r="K317" s="28">
        <f>(Fuentes!K1728/Fuentes!K$47)*100000</f>
        <v>0.18164933050868626</v>
      </c>
      <c r="L317" s="28">
        <f>(Fuentes!L1728/Fuentes!L$47)*100000</f>
        <v>0.1118734165716302</v>
      </c>
      <c r="M317" s="28">
        <f>(Fuentes!M1728/Fuentes!M$47)*100000</f>
        <v>4.4112191418678955E-2</v>
      </c>
      <c r="N317" s="28">
        <f>(Fuentes!N1728/Fuentes!N$47)*100000</f>
        <v>0.15243414463866248</v>
      </c>
      <c r="O317" s="28">
        <f>(Fuentes!O1728/Fuentes!O$47)*100000</f>
        <v>0.15045832830909986</v>
      </c>
      <c r="P317" s="28">
        <f>(Fuentes!P1728/Fuentes!P$47)*100000</f>
        <v>0.16973735690079955</v>
      </c>
      <c r="Q317" s="28">
        <f>(Fuentes!Q1728/Fuentes!Q$47)*100000</f>
        <v>0.12570396841143078</v>
      </c>
      <c r="R317" s="28">
        <f>(Fuentes!R1728/Fuentes!R$47)*100000</f>
        <v>0.26902709661611507</v>
      </c>
      <c r="S317" s="28">
        <f>(Fuentes!S1728/Fuentes!S$47)*100000</f>
        <v>0.32717347473770914</v>
      </c>
      <c r="T317" s="28">
        <f>(Fuentes!T1728/Fuentes!T$47)*100000</f>
        <v>0.28297228427961624</v>
      </c>
      <c r="U317" s="28">
        <f>(Fuentes!U1728/Fuentes!U$47)*100000</f>
        <v>0.1399050604259949</v>
      </c>
      <c r="V317" s="28">
        <f>(Fuentes!V1728/Fuentes!V$47)*100000</f>
        <v>0.37564262072807841</v>
      </c>
    </row>
    <row r="318" spans="1:22" s="14" customFormat="1" ht="12.75" x14ac:dyDescent="0.2">
      <c r="A318" s="28" t="s">
        <v>3198</v>
      </c>
      <c r="B318" s="29" t="s">
        <v>3304</v>
      </c>
      <c r="C318" s="29">
        <f>(Fuentes!C1729/Fuentes!C$47)*100000</f>
        <v>5.1648237284397658E-2</v>
      </c>
      <c r="D318" s="30">
        <f>(Fuentes!D1729/Fuentes!D$47)*100000</f>
        <v>2.5294727845169961E-2</v>
      </c>
      <c r="E318" s="35">
        <f>(Fuentes!E1729/Fuentes!E$47)*100000</f>
        <v>0</v>
      </c>
      <c r="F318" s="28">
        <f>(Fuentes!F1729/Fuentes!F$47)*100000</f>
        <v>0</v>
      </c>
      <c r="G318" s="28">
        <f>(Fuentes!G1729/Fuentes!G$47)*100000</f>
        <v>0</v>
      </c>
      <c r="H318" s="28">
        <f>(Fuentes!H1729/Fuentes!H$47)*100000</f>
        <v>0</v>
      </c>
      <c r="I318" s="28">
        <f>(Fuentes!I1729/Fuentes!I$47)*100000</f>
        <v>0</v>
      </c>
      <c r="J318" s="28">
        <f>(Fuentes!J1729/Fuentes!J$47)*100000</f>
        <v>0</v>
      </c>
      <c r="K318" s="28">
        <f>(Fuentes!K1729/Fuentes!K$47)*100000</f>
        <v>0</v>
      </c>
      <c r="L318" s="28">
        <f>(Fuentes!L1729/Fuentes!L$47)*100000</f>
        <v>0</v>
      </c>
      <c r="M318" s="28">
        <f>(Fuentes!M1729/Fuentes!M$47)*100000</f>
        <v>0</v>
      </c>
      <c r="N318" s="36">
        <f>(Fuentes!N1729/Fuentes!N$47)*100000</f>
        <v>0</v>
      </c>
      <c r="O318" s="28">
        <f>(Fuentes!O1729/Fuentes!O$47)*100000</f>
        <v>0</v>
      </c>
      <c r="P318" s="28">
        <f>(Fuentes!P1729/Fuentes!P$47)*100000</f>
        <v>0</v>
      </c>
      <c r="Q318" s="28">
        <f>(Fuentes!Q1729/Fuentes!Q$47)*100000</f>
        <v>0.27235859822476666</v>
      </c>
      <c r="R318" s="28">
        <f>(Fuentes!R1729/Fuentes!R$47)*100000</f>
        <v>0.22763831252132816</v>
      </c>
      <c r="S318" s="28">
        <f>(Fuentes!S1729/Fuentes!S$47)*100000</f>
        <v>0.22493176388217503</v>
      </c>
      <c r="T318" s="28">
        <f>(Fuentes!T1729/Fuentes!T$47)*100000</f>
        <v>0.24254767223967102</v>
      </c>
      <c r="U318" s="28">
        <f>(Fuentes!U1729/Fuentes!U$47)*100000</f>
        <v>1.1791997950191002</v>
      </c>
      <c r="V318" s="28">
        <f>(Fuentes!V1729/Fuentes!V$47)*100000</f>
        <v>0.593119927465387</v>
      </c>
    </row>
    <row r="319" spans="1:22" s="14" customFormat="1" ht="12.75" x14ac:dyDescent="0.2">
      <c r="A319" s="28" t="s">
        <v>3198</v>
      </c>
      <c r="B319" s="29" t="s">
        <v>3305</v>
      </c>
      <c r="C319" s="29">
        <f>(Fuentes!C1730/Fuentes!C$47)*100000</f>
        <v>0.1807688304953918</v>
      </c>
      <c r="D319" s="30">
        <f>(Fuentes!D1730/Fuentes!D$47)*100000</f>
        <v>0.20235782276135969</v>
      </c>
      <c r="E319" s="35">
        <f>(Fuentes!E1730/Fuentes!E$47)*100000</f>
        <v>0.1740241162620316</v>
      </c>
      <c r="F319" s="28">
        <f>(Fuentes!F1730/Fuentes!F$47)*100000</f>
        <v>0.14682832465210863</v>
      </c>
      <c r="G319" s="28">
        <f>(Fuentes!G1730/Fuentes!G$47)*100000</f>
        <v>7.2257415597919275E-2</v>
      </c>
      <c r="H319" s="36">
        <f>(Fuentes!H1730/Fuentes!H$47)*100000</f>
        <v>0.16606377608150222</v>
      </c>
      <c r="I319" s="28">
        <f>(Fuentes!I1730/Fuentes!I$47)*100000</f>
        <v>0.25709007688395608</v>
      </c>
      <c r="J319" s="28">
        <f>(Fuentes!J1730/Fuentes!J$47)*100000</f>
        <v>6.9118212879487786E-2</v>
      </c>
      <c r="K319" s="28">
        <f>(Fuentes!K1730/Fuentes!K$47)*100000</f>
        <v>0.18164933050868626</v>
      </c>
      <c r="L319" s="28">
        <f>(Fuentes!L1730/Fuentes!L$47)*100000</f>
        <v>0.24612151645758645</v>
      </c>
      <c r="M319" s="28">
        <f>(Fuentes!M1730/Fuentes!M$47)*100000</f>
        <v>0.19850486138405529</v>
      </c>
      <c r="N319" s="28">
        <f>(Fuentes!N1730/Fuentes!N$47)*100000</f>
        <v>0.21776306376951785</v>
      </c>
      <c r="O319" s="28">
        <f>(Fuentes!O1730/Fuentes!O$47)*100000</f>
        <v>0.47286903182859957</v>
      </c>
      <c r="P319" s="28">
        <f>(Fuentes!P1730/Fuentes!P$47)*100000</f>
        <v>0.16973735690079955</v>
      </c>
      <c r="Q319" s="28">
        <f>(Fuentes!Q1730/Fuentes!Q$47)*100000</f>
        <v>0.10475330700952563</v>
      </c>
      <c r="R319" s="28">
        <f>(Fuentes!R1730/Fuentes!R$47)*100000</f>
        <v>0.14486074433175428</v>
      </c>
      <c r="S319" s="28">
        <f>(Fuentes!S1730/Fuentes!S$47)*100000</f>
        <v>0.12269005302664091</v>
      </c>
      <c r="T319" s="28">
        <f>(Fuentes!T1730/Fuentes!T$47)*100000</f>
        <v>0.20212306019972587</v>
      </c>
      <c r="U319" s="28">
        <f>(Fuentes!U1730/Fuentes!U$47)*100000</f>
        <v>0.1399050604259949</v>
      </c>
      <c r="V319" s="28">
        <f>(Fuentes!V1730/Fuentes!V$47)*100000</f>
        <v>0.11862398549307739</v>
      </c>
    </row>
    <row r="320" spans="1:22" s="14" customFormat="1" ht="12.75" x14ac:dyDescent="0.2">
      <c r="A320" s="28" t="s">
        <v>3198</v>
      </c>
      <c r="B320" s="29" t="s">
        <v>3306</v>
      </c>
      <c r="C320" s="29">
        <f>(Fuentes!C1731/Fuentes!C$47)*100000</f>
        <v>0</v>
      </c>
      <c r="D320" s="30">
        <f>(Fuentes!D1731/Fuentes!D$47)*100000</f>
        <v>0</v>
      </c>
      <c r="E320" s="35">
        <f>(Fuentes!E1731/Fuentes!E$47)*100000</f>
        <v>0</v>
      </c>
      <c r="F320" s="28">
        <f>(Fuentes!F1731/Fuentes!F$47)*100000</f>
        <v>0</v>
      </c>
      <c r="G320" s="28">
        <f>(Fuentes!G1731/Fuentes!G$47)*100000</f>
        <v>0</v>
      </c>
      <c r="H320" s="28">
        <f>(Fuentes!H1731/Fuentes!H$47)*100000</f>
        <v>4.7446793166143482E-2</v>
      </c>
      <c r="I320" s="28">
        <f>(Fuentes!I1731/Fuentes!I$47)*100000</f>
        <v>2.3371825171268734E-2</v>
      </c>
      <c r="J320" s="28">
        <f>(Fuentes!J1731/Fuentes!J$47)*100000</f>
        <v>4.6078808586325189E-2</v>
      </c>
      <c r="K320" s="28">
        <f>(Fuentes!K1731/Fuentes!K$47)*100000</f>
        <v>2.2706166313585782E-2</v>
      </c>
      <c r="L320" s="28">
        <f>(Fuentes!L1731/Fuentes!L$47)*100000</f>
        <v>2.237468331432604E-2</v>
      </c>
      <c r="M320" s="28">
        <f>(Fuentes!M1731/Fuentes!M$47)*100000</f>
        <v>2.2056095709339477E-2</v>
      </c>
      <c r="N320" s="36">
        <f>(Fuentes!N1731/Fuentes!N$47)*100000</f>
        <v>0</v>
      </c>
      <c r="O320" s="28">
        <f>(Fuentes!O1731/Fuentes!O$47)*100000</f>
        <v>6.4482140703899946E-2</v>
      </c>
      <c r="P320" s="28">
        <f>(Fuentes!P1731/Fuentes!P$47)*100000</f>
        <v>0.27582320496379925</v>
      </c>
      <c r="Q320" s="28">
        <f>(Fuentes!Q1731/Fuentes!Q$47)*100000</f>
        <v>8.3802645607620518E-2</v>
      </c>
      <c r="R320" s="28">
        <f>(Fuentes!R1731/Fuentes!R$47)*100000</f>
        <v>2.069439204739347E-2</v>
      </c>
      <c r="S320" s="28">
        <f>(Fuentes!S1731/Fuentes!S$47)*100000</f>
        <v>6.1345026513320453E-2</v>
      </c>
      <c r="T320" s="28">
        <f>(Fuentes!T1731/Fuentes!T$47)*100000</f>
        <v>0</v>
      </c>
      <c r="U320" s="28">
        <f>(Fuentes!U1731/Fuentes!U$47)*100000</f>
        <v>0</v>
      </c>
      <c r="V320" s="28">
        <f>(Fuentes!V1731/Fuentes!V$47)*100000</f>
        <v>0.19770664248846231</v>
      </c>
    </row>
    <row r="321" spans="1:22" s="14" customFormat="1" ht="12.75" x14ac:dyDescent="0.2">
      <c r="A321" s="28" t="s">
        <v>3198</v>
      </c>
      <c r="B321" s="29" t="s">
        <v>3307</v>
      </c>
      <c r="C321" s="29">
        <f>(Fuentes!C1732/Fuentes!C$47)*100000</f>
        <v>7.7472355926596501E-2</v>
      </c>
      <c r="D321" s="30">
        <f>(Fuentes!D1732/Fuentes!D$47)*100000</f>
        <v>0</v>
      </c>
      <c r="E321" s="35">
        <f>(Fuentes!E1732/Fuentes!E$47)*100000</f>
        <v>0</v>
      </c>
      <c r="F321" s="28">
        <f>(Fuentes!F1732/Fuentes!F$47)*100000</f>
        <v>0</v>
      </c>
      <c r="G321" s="28">
        <f>(Fuentes!G1732/Fuentes!G$47)*100000</f>
        <v>0.31311546759098352</v>
      </c>
      <c r="H321" s="36">
        <f>(Fuentes!H1732/Fuentes!H$47)*100000</f>
        <v>9.4893586332286964E-2</v>
      </c>
      <c r="I321" s="28">
        <f>(Fuentes!I1732/Fuentes!I$47)*100000</f>
        <v>0.11685912585634367</v>
      </c>
      <c r="J321" s="28">
        <f>(Fuentes!J1732/Fuentes!J$47)*100000</f>
        <v>0.41470927727692669</v>
      </c>
      <c r="K321" s="28">
        <f>(Fuentes!K1732/Fuentes!K$47)*100000</f>
        <v>9.0824665254343129E-2</v>
      </c>
      <c r="L321" s="28">
        <f>(Fuentes!L1732/Fuentes!L$47)*100000</f>
        <v>4.4749366628652081E-2</v>
      </c>
      <c r="M321" s="28">
        <f>(Fuentes!M1732/Fuentes!M$47)*100000</f>
        <v>4.4112191418678955E-2</v>
      </c>
      <c r="N321" s="28">
        <f>(Fuentes!N1732/Fuentes!N$47)*100000</f>
        <v>0</v>
      </c>
      <c r="O321" s="28">
        <f>(Fuentes!O1732/Fuentes!O$47)*100000</f>
        <v>2.1494046901299982E-2</v>
      </c>
      <c r="P321" s="28">
        <f>(Fuentes!P1732/Fuentes!P$47)*100000</f>
        <v>0</v>
      </c>
      <c r="Q321" s="28">
        <f>(Fuentes!Q1732/Fuentes!Q$47)*100000</f>
        <v>2.095066140190513E-2</v>
      </c>
      <c r="R321" s="28">
        <f>(Fuentes!R1732/Fuentes!R$47)*100000</f>
        <v>0</v>
      </c>
      <c r="S321" s="28">
        <f>(Fuentes!S1732/Fuentes!S$47)*100000</f>
        <v>2.0448342171106821E-2</v>
      </c>
      <c r="T321" s="28">
        <f>(Fuentes!T1732/Fuentes!T$47)*100000</f>
        <v>4.0424612039945178E-2</v>
      </c>
      <c r="U321" s="28">
        <f>(Fuentes!U1732/Fuentes!U$47)*100000</f>
        <v>0</v>
      </c>
      <c r="V321" s="28">
        <f>(Fuentes!V1732/Fuentes!V$47)*100000</f>
        <v>0</v>
      </c>
    </row>
    <row r="322" spans="1:22" s="14" customFormat="1" ht="12.75" x14ac:dyDescent="0.2">
      <c r="A322" s="28" t="s">
        <v>3198</v>
      </c>
      <c r="B322" s="29" t="s">
        <v>3308</v>
      </c>
      <c r="C322" s="29">
        <f>(Fuentes!C1733/Fuentes!C$47)*100000</f>
        <v>0</v>
      </c>
      <c r="D322" s="30">
        <f>(Fuentes!D1733/Fuentes!D$47)*100000</f>
        <v>0</v>
      </c>
      <c r="E322" s="35">
        <f>(Fuentes!E1733/Fuentes!E$47)*100000</f>
        <v>0</v>
      </c>
      <c r="F322" s="28">
        <f>(Fuentes!F1733/Fuentes!F$47)*100000</f>
        <v>0</v>
      </c>
      <c r="G322" s="28">
        <f>(Fuentes!G1733/Fuentes!G$47)*100000</f>
        <v>0</v>
      </c>
      <c r="H322" s="28">
        <f>(Fuentes!H1733/Fuentes!H$47)*100000</f>
        <v>0</v>
      </c>
      <c r="I322" s="28">
        <f>(Fuentes!I1733/Fuentes!I$47)*100000</f>
        <v>0</v>
      </c>
      <c r="J322" s="28">
        <f>(Fuentes!J1733/Fuentes!J$47)*100000</f>
        <v>0</v>
      </c>
      <c r="K322" s="28">
        <f>(Fuentes!K1733/Fuentes!K$47)*100000</f>
        <v>0</v>
      </c>
      <c r="L322" s="28">
        <f>(Fuentes!L1733/Fuentes!L$47)*100000</f>
        <v>0</v>
      </c>
      <c r="M322" s="28">
        <f>(Fuentes!M1733/Fuentes!M$47)*100000</f>
        <v>0</v>
      </c>
      <c r="N322" s="36">
        <f>(Fuentes!N1733/Fuentes!N$47)*100000</f>
        <v>0</v>
      </c>
      <c r="O322" s="28">
        <f>(Fuentes!O1733/Fuentes!O$47)*100000</f>
        <v>6.4482140703899946E-2</v>
      </c>
      <c r="P322" s="28">
        <f>(Fuentes!P1733/Fuentes!P$47)*100000</f>
        <v>0</v>
      </c>
      <c r="Q322" s="28">
        <f>(Fuentes!Q1733/Fuentes!Q$47)*100000</f>
        <v>0</v>
      </c>
      <c r="R322" s="28">
        <f>(Fuentes!R1733/Fuentes!R$47)*100000</f>
        <v>0</v>
      </c>
      <c r="S322" s="28">
        <f>(Fuentes!S1733/Fuentes!S$47)*100000</f>
        <v>0</v>
      </c>
      <c r="T322" s="28">
        <f>(Fuentes!T1733/Fuentes!T$47)*100000</f>
        <v>0</v>
      </c>
      <c r="U322" s="28">
        <f>(Fuentes!U1733/Fuentes!U$47)*100000</f>
        <v>0</v>
      </c>
      <c r="V322" s="28">
        <f>(Fuentes!V1733/Fuentes!V$47)*100000</f>
        <v>0</v>
      </c>
    </row>
    <row r="323" spans="1:22" s="14" customFormat="1" ht="12.75" x14ac:dyDescent="0.2">
      <c r="A323" s="28" t="s">
        <v>3198</v>
      </c>
      <c r="B323" s="29" t="s">
        <v>3309</v>
      </c>
      <c r="C323" s="29">
        <f>(Fuentes!C1734/Fuentes!C$47)*100000</f>
        <v>0</v>
      </c>
      <c r="D323" s="30">
        <f>(Fuentes!D1734/Fuentes!D$47)*100000</f>
        <v>0</v>
      </c>
      <c r="E323" s="35">
        <f>(Fuentes!E1734/Fuentes!E$47)*100000</f>
        <v>0</v>
      </c>
      <c r="F323" s="28">
        <f>(Fuentes!F1734/Fuentes!F$47)*100000</f>
        <v>0</v>
      </c>
      <c r="G323" s="28">
        <f>(Fuentes!G1734/Fuentes!G$47)*100000</f>
        <v>0</v>
      </c>
      <c r="H323" s="36">
        <f>(Fuentes!H1734/Fuentes!H$47)*100000</f>
        <v>0</v>
      </c>
      <c r="I323" s="28">
        <f>(Fuentes!I1734/Fuentes!I$47)*100000</f>
        <v>0</v>
      </c>
      <c r="J323" s="28">
        <f>(Fuentes!J1734/Fuentes!J$47)*100000</f>
        <v>0</v>
      </c>
      <c r="K323" s="28">
        <f>(Fuentes!K1734/Fuentes!K$47)*100000</f>
        <v>2.2706166313585782E-2</v>
      </c>
      <c r="L323" s="28">
        <f>(Fuentes!L1734/Fuentes!L$47)*100000</f>
        <v>0</v>
      </c>
      <c r="M323" s="28">
        <f>(Fuentes!M1734/Fuentes!M$47)*100000</f>
        <v>2.2056095709339477E-2</v>
      </c>
      <c r="N323" s="28">
        <f>(Fuentes!N1734/Fuentes!N$47)*100000</f>
        <v>2.1776306376951781E-2</v>
      </c>
      <c r="O323" s="28">
        <f>(Fuentes!O1734/Fuentes!O$47)*100000</f>
        <v>2.1494046901299982E-2</v>
      </c>
      <c r="P323" s="28">
        <f>(Fuentes!P1734/Fuentes!P$47)*100000</f>
        <v>4.2434339225199888E-2</v>
      </c>
      <c r="Q323" s="28">
        <f>(Fuentes!Q1734/Fuentes!Q$47)*100000</f>
        <v>6.2851984205715389E-2</v>
      </c>
      <c r="R323" s="28">
        <f>(Fuentes!R1734/Fuentes!R$47)*100000</f>
        <v>2.069439204739347E-2</v>
      </c>
      <c r="S323" s="28">
        <f>(Fuentes!S1734/Fuentes!S$47)*100000</f>
        <v>2.0448342171106821E-2</v>
      </c>
      <c r="T323" s="28">
        <f>(Fuentes!T1734/Fuentes!T$47)*100000</f>
        <v>4.0424612039945178E-2</v>
      </c>
      <c r="U323" s="28">
        <f>(Fuentes!U1734/Fuentes!U$47)*100000</f>
        <v>0</v>
      </c>
      <c r="V323" s="28">
        <f>(Fuentes!V1734/Fuentes!V$47)*100000</f>
        <v>1.9770664248846232E-2</v>
      </c>
    </row>
    <row r="324" spans="1:22" s="14" customFormat="1" ht="12.75" x14ac:dyDescent="0.2">
      <c r="A324" s="28" t="s">
        <v>3198</v>
      </c>
      <c r="B324" s="29" t="s">
        <v>3310</v>
      </c>
      <c r="C324" s="29">
        <f>(Fuentes!C1735/Fuentes!C$47)*100000</f>
        <v>0</v>
      </c>
      <c r="D324" s="30">
        <f>(Fuentes!D1735/Fuentes!D$47)*100000</f>
        <v>0</v>
      </c>
      <c r="E324" s="35">
        <f>(Fuentes!E1735/Fuentes!E$47)*100000</f>
        <v>0</v>
      </c>
      <c r="F324" s="28">
        <f>(Fuentes!F1735/Fuentes!F$47)*100000</f>
        <v>0</v>
      </c>
      <c r="G324" s="28">
        <f>(Fuentes!G1735/Fuentes!G$47)*100000</f>
        <v>0.16860063639514497</v>
      </c>
      <c r="H324" s="28">
        <f>(Fuentes!H1735/Fuentes!H$47)*100000</f>
        <v>0.11861698291535872</v>
      </c>
      <c r="I324" s="28">
        <f>(Fuentes!I1735/Fuentes!I$47)*100000</f>
        <v>0.25709007688395608</v>
      </c>
      <c r="J324" s="28">
        <f>(Fuentes!J1735/Fuentes!J$47)*100000</f>
        <v>0.48382749015641452</v>
      </c>
      <c r="K324" s="28">
        <f>(Fuentes!K1735/Fuentes!K$47)*100000</f>
        <v>0.72659732203474503</v>
      </c>
      <c r="L324" s="28">
        <f>(Fuentes!L1735/Fuentes!L$47)*100000</f>
        <v>1.141108849030628</v>
      </c>
      <c r="M324" s="28">
        <f>(Fuentes!M1735/Fuentes!M$47)*100000</f>
        <v>0.86018773266423965</v>
      </c>
      <c r="N324" s="36">
        <f>(Fuentes!N1735/Fuentes!N$47)*100000</f>
        <v>1.4590125272557695</v>
      </c>
      <c r="O324" s="28">
        <f>(Fuentes!O1735/Fuentes!O$47)*100000</f>
        <v>1.3756190016831988</v>
      </c>
      <c r="P324" s="28">
        <f>(Fuentes!P1735/Fuentes!P$47)*100000</f>
        <v>0.23338886573859938</v>
      </c>
      <c r="Q324" s="28">
        <f>(Fuentes!Q1735/Fuentes!Q$47)*100000</f>
        <v>4.6719974926248433</v>
      </c>
      <c r="R324" s="28">
        <f>(Fuentes!R1735/Fuentes!R$47)*100000</f>
        <v>6.8705381597346316</v>
      </c>
      <c r="S324" s="28">
        <f>(Fuentes!S1735/Fuentes!S$47)*100000</f>
        <v>7.3818515237695621</v>
      </c>
      <c r="T324" s="28">
        <f>(Fuentes!T1735/Fuentes!T$47)*100000</f>
        <v>3.1935443511556687</v>
      </c>
      <c r="U324" s="28">
        <f>(Fuentes!U1735/Fuentes!U$47)*100000</f>
        <v>5.0765550497432441</v>
      </c>
      <c r="V324" s="28">
        <f>(Fuentes!V1735/Fuentes!V$47)*100000</f>
        <v>15.994467377316603</v>
      </c>
    </row>
    <row r="325" spans="1:22" s="14" customFormat="1" ht="12.75" x14ac:dyDescent="0.2">
      <c r="A325" s="28" t="s">
        <v>3198</v>
      </c>
      <c r="B325" s="29" t="s">
        <v>3311</v>
      </c>
      <c r="C325" s="29">
        <f>(Fuentes!C1736/Fuentes!C$47)*100000</f>
        <v>0.28406530506418715</v>
      </c>
      <c r="D325" s="30">
        <f>(Fuentes!D1736/Fuentes!D$47)*100000</f>
        <v>0.25294727845169962</v>
      </c>
      <c r="E325" s="35">
        <f>(Fuentes!E1736/Fuentes!E$47)*100000</f>
        <v>0.34804823252406319</v>
      </c>
      <c r="F325" s="28">
        <f>(Fuentes!F1736/Fuentes!F$47)*100000</f>
        <v>0.44048497395632591</v>
      </c>
      <c r="G325" s="28">
        <f>(Fuentes!G1736/Fuentes!G$47)*100000</f>
        <v>0.2890296623916771</v>
      </c>
      <c r="H325" s="36">
        <f>(Fuentes!H1736/Fuentes!H$47)*100000</f>
        <v>0.23723396583071743</v>
      </c>
      <c r="I325" s="28">
        <f>(Fuentes!I1736/Fuentes!I$47)*100000</f>
        <v>0.30383372722649354</v>
      </c>
      <c r="J325" s="28">
        <f>(Fuentes!J1736/Fuentes!J$47)*100000</f>
        <v>0.29951225581111374</v>
      </c>
      <c r="K325" s="28">
        <f>(Fuentes!K1736/Fuentes!K$47)*100000</f>
        <v>0.13623699788151469</v>
      </c>
      <c r="L325" s="28">
        <f>(Fuentes!L1736/Fuentes!L$47)*100000</f>
        <v>0.38036961634354266</v>
      </c>
      <c r="M325" s="28">
        <f>(Fuentes!M1736/Fuentes!M$47)*100000</f>
        <v>0.13233657425603684</v>
      </c>
      <c r="N325" s="28">
        <f>(Fuentes!N1736/Fuentes!N$47)*100000</f>
        <v>0.21776306376951785</v>
      </c>
      <c r="O325" s="28">
        <f>(Fuentes!O1736/Fuentes!O$47)*100000</f>
        <v>0.21494046901299979</v>
      </c>
      <c r="P325" s="28">
        <f>(Fuentes!P1736/Fuentes!P$47)*100000</f>
        <v>0.10608584806299971</v>
      </c>
      <c r="Q325" s="28">
        <f>(Fuentes!Q1736/Fuentes!Q$47)*100000</f>
        <v>0</v>
      </c>
      <c r="R325" s="28">
        <f>(Fuentes!R1736/Fuentes!R$47)*100000</f>
        <v>0</v>
      </c>
      <c r="S325" s="28">
        <f>(Fuentes!S1736/Fuentes!S$47)*100000</f>
        <v>6.1345026513320453E-2</v>
      </c>
      <c r="T325" s="28">
        <f>(Fuentes!T1736/Fuentes!T$47)*100000</f>
        <v>0.20212306019972587</v>
      </c>
      <c r="U325" s="28">
        <f>(Fuentes!U1736/Fuentes!U$47)*100000</f>
        <v>0</v>
      </c>
      <c r="V325" s="28">
        <f>(Fuentes!V1736/Fuentes!V$47)*100000</f>
        <v>0.23724797098615477</v>
      </c>
    </row>
    <row r="326" spans="1:22" s="14" customFormat="1" ht="12.75" x14ac:dyDescent="0.2">
      <c r="A326" s="28" t="s">
        <v>3198</v>
      </c>
      <c r="B326" s="29" t="s">
        <v>3312</v>
      </c>
      <c r="C326" s="29">
        <f>(Fuentes!C1737/Fuentes!C$47)*100000</f>
        <v>0</v>
      </c>
      <c r="D326" s="30">
        <f>(Fuentes!D1737/Fuentes!D$47)*100000</f>
        <v>0</v>
      </c>
      <c r="E326" s="35">
        <f>(Fuentes!E1737/Fuentes!E$47)*100000</f>
        <v>0</v>
      </c>
      <c r="F326" s="28">
        <f>(Fuentes!F1737/Fuentes!F$47)*100000</f>
        <v>0</v>
      </c>
      <c r="G326" s="28">
        <f>(Fuentes!G1737/Fuentes!G$47)*100000</f>
        <v>0</v>
      </c>
      <c r="H326" s="28">
        <f>(Fuentes!H1737/Fuentes!H$47)*100000</f>
        <v>0</v>
      </c>
      <c r="I326" s="28">
        <f>(Fuentes!I1737/Fuentes!I$47)*100000</f>
        <v>0</v>
      </c>
      <c r="J326" s="28">
        <f>(Fuentes!J1737/Fuentes!J$47)*100000</f>
        <v>0</v>
      </c>
      <c r="K326" s="28">
        <f>(Fuentes!K1737/Fuentes!K$47)*100000</f>
        <v>0</v>
      </c>
      <c r="L326" s="28">
        <f>(Fuentes!L1737/Fuentes!L$47)*100000</f>
        <v>0</v>
      </c>
      <c r="M326" s="28">
        <f>(Fuentes!M1737/Fuentes!M$47)*100000</f>
        <v>0</v>
      </c>
      <c r="N326" s="36">
        <f>(Fuentes!N1737/Fuentes!N$47)*100000</f>
        <v>0</v>
      </c>
      <c r="O326" s="28">
        <f>(Fuentes!O1737/Fuentes!O$47)*100000</f>
        <v>0</v>
      </c>
      <c r="P326" s="28">
        <f>(Fuentes!P1737/Fuentes!P$47)*100000</f>
        <v>4.2434339225199889</v>
      </c>
      <c r="Q326" s="28">
        <f>(Fuentes!Q1737/Fuentes!Q$47)*100000</f>
        <v>0.64947050345905899</v>
      </c>
      <c r="R326" s="28">
        <f>(Fuentes!R1737/Fuentes!R$47)*100000</f>
        <v>0.47597101709004974</v>
      </c>
      <c r="S326" s="28">
        <f>(Fuentes!S1737/Fuentes!S$47)*100000</f>
        <v>0.57255358079099095</v>
      </c>
      <c r="T326" s="28">
        <f>(Fuentes!T1737/Fuentes!T$47)*100000</f>
        <v>0.42445842641942438</v>
      </c>
      <c r="U326" s="28">
        <f>(Fuentes!U1737/Fuentes!U$47)*100000</f>
        <v>0.69952530212997455</v>
      </c>
      <c r="V326" s="28">
        <f>(Fuentes!V1737/Fuentes!V$47)*100000</f>
        <v>1.3444051689215439</v>
      </c>
    </row>
    <row r="327" spans="1:22" s="14" customFormat="1" ht="12.75" x14ac:dyDescent="0.2">
      <c r="A327" s="28" t="s">
        <v>3198</v>
      </c>
      <c r="B327" s="29" t="s">
        <v>3313</v>
      </c>
      <c r="C327" s="29">
        <f>(Fuentes!C1738/Fuentes!C$47)*100000</f>
        <v>0</v>
      </c>
      <c r="D327" s="30">
        <f>(Fuentes!D1738/Fuentes!D$47)*100000</f>
        <v>0</v>
      </c>
      <c r="E327" s="35">
        <f>(Fuentes!E1738/Fuentes!E$47)*100000</f>
        <v>0</v>
      </c>
      <c r="F327" s="28">
        <f>(Fuentes!F1738/Fuentes!F$47)*100000</f>
        <v>0</v>
      </c>
      <c r="G327" s="28">
        <f>(Fuentes!G1738/Fuentes!G$47)*100000</f>
        <v>0</v>
      </c>
      <c r="H327" s="36">
        <f>(Fuentes!H1738/Fuentes!H$47)*100000</f>
        <v>0</v>
      </c>
      <c r="I327" s="28">
        <f>(Fuentes!I1738/Fuentes!I$47)*100000</f>
        <v>0</v>
      </c>
      <c r="J327" s="28">
        <f>(Fuentes!J1738/Fuentes!J$47)*100000</f>
        <v>0</v>
      </c>
      <c r="K327" s="28">
        <f>(Fuentes!K1738/Fuentes!K$47)*100000</f>
        <v>0</v>
      </c>
      <c r="L327" s="28">
        <f>(Fuentes!L1738/Fuentes!L$47)*100000</f>
        <v>0</v>
      </c>
      <c r="M327" s="28">
        <f>(Fuentes!M1738/Fuentes!M$47)*100000</f>
        <v>0</v>
      </c>
      <c r="N327" s="28">
        <f>(Fuentes!N1738/Fuentes!N$47)*100000</f>
        <v>0</v>
      </c>
      <c r="O327" s="28">
        <f>(Fuentes!O1738/Fuentes!O$47)*100000</f>
        <v>0</v>
      </c>
      <c r="P327" s="28">
        <f>(Fuentes!P1738/Fuentes!P$47)*100000</f>
        <v>0</v>
      </c>
      <c r="Q327" s="28">
        <f>(Fuentes!Q1738/Fuentes!Q$47)*100000</f>
        <v>4.1901322803810259E-2</v>
      </c>
      <c r="R327" s="28">
        <f>(Fuentes!R1738/Fuentes!R$47)*100000</f>
        <v>0.47597101709004974</v>
      </c>
      <c r="S327" s="28">
        <f>(Fuentes!S1738/Fuentes!S$47)*100000</f>
        <v>0.65434694947541827</v>
      </c>
      <c r="T327" s="28">
        <f>(Fuentes!T1738/Fuentes!T$47)*100000</f>
        <v>1.3542245033381635</v>
      </c>
      <c r="U327" s="28">
        <f>(Fuentes!U1738/Fuentes!U$47)*100000</f>
        <v>1.8587386599453612</v>
      </c>
      <c r="V327" s="28">
        <f>(Fuentes!V1738/Fuentes!V$47)*100000</f>
        <v>2.8272049875850112</v>
      </c>
    </row>
    <row r="328" spans="1:22" s="14" customFormat="1" ht="12.75" x14ac:dyDescent="0.2">
      <c r="A328" s="28" t="s">
        <v>3198</v>
      </c>
      <c r="B328" s="29" t="s">
        <v>3314</v>
      </c>
      <c r="C328" s="29">
        <f>(Fuentes!C1739/Fuentes!C$47)*100000</f>
        <v>24.197199167740305</v>
      </c>
      <c r="D328" s="30">
        <f>(Fuentes!D1739/Fuentes!D$47)*100000</f>
        <v>22.588191965736776</v>
      </c>
      <c r="E328" s="35">
        <f>(Fuentes!E1739/Fuentes!E$47)*100000</f>
        <v>24.313655100609555</v>
      </c>
      <c r="F328" s="28">
        <f>(Fuentes!F1739/Fuentes!F$47)*100000</f>
        <v>23.981959693177746</v>
      </c>
      <c r="G328" s="28">
        <f>(Fuentes!G1739/Fuentes!G$47)*100000</f>
        <v>21.388195016984106</v>
      </c>
      <c r="H328" s="28">
        <f>(Fuentes!H1739/Fuentes!H$47)*100000</f>
        <v>19.856482940031047</v>
      </c>
      <c r="I328" s="28">
        <f>(Fuentes!I1739/Fuentes!I$47)*100000</f>
        <v>20.473718850031414</v>
      </c>
      <c r="J328" s="28">
        <f>(Fuentes!J1739/Fuentes!J$47)*100000</f>
        <v>21.288409566882237</v>
      </c>
      <c r="K328" s="28">
        <f>(Fuentes!K1739/Fuentes!K$47)*100000</f>
        <v>22.592635482017851</v>
      </c>
      <c r="L328" s="28">
        <f>(Fuentes!L1739/Fuentes!L$47)*100000</f>
        <v>24.858273162216229</v>
      </c>
      <c r="M328" s="28">
        <f>(Fuentes!M1739/Fuentes!M$47)*100000</f>
        <v>23.577966313283902</v>
      </c>
      <c r="N328" s="36">
        <f>(Fuentes!N1739/Fuentes!N$47)*100000</f>
        <v>20.600385832596388</v>
      </c>
      <c r="O328" s="28">
        <f>(Fuentes!O1739/Fuentes!O$47)*100000</f>
        <v>18.506374382019285</v>
      </c>
      <c r="P328" s="28">
        <f>(Fuentes!P1739/Fuentes!P$47)*100000</f>
        <v>20.304831319258145</v>
      </c>
      <c r="Q328" s="28">
        <f>(Fuentes!Q1739/Fuentes!Q$47)*100000</f>
        <v>19.630769733585105</v>
      </c>
      <c r="R328" s="28">
        <f>(Fuentes!R1739/Fuentes!R$47)*100000</f>
        <v>21.335918200862665</v>
      </c>
      <c r="S328" s="28">
        <f>(Fuentes!S1739/Fuentes!S$47)*100000</f>
        <v>20.386997144593501</v>
      </c>
      <c r="T328" s="28">
        <f>(Fuentes!T1739/Fuentes!T$47)*100000</f>
        <v>20.37400446813237</v>
      </c>
      <c r="U328" s="28">
        <f>(Fuentes!U1739/Fuentes!U$47)*100000</f>
        <v>19.966450766509848</v>
      </c>
      <c r="V328" s="28">
        <f>(Fuentes!V1739/Fuentes!V$47)*100000</f>
        <v>20.14630686957431</v>
      </c>
    </row>
    <row r="329" spans="1:22" s="14" customFormat="1" ht="12.75" x14ac:dyDescent="0.2">
      <c r="A329" s="28" t="s">
        <v>3198</v>
      </c>
      <c r="B329" s="29" t="s">
        <v>3315</v>
      </c>
      <c r="C329" s="29">
        <f>(Fuentes!C1740/Fuentes!C$47)*100000</f>
        <v>0.28406530506418715</v>
      </c>
      <c r="D329" s="30">
        <f>(Fuentes!D1740/Fuentes!D$47)*100000</f>
        <v>5.0589455690339923E-2</v>
      </c>
      <c r="E329" s="35">
        <f>(Fuentes!E1740/Fuentes!E$47)*100000</f>
        <v>0.19888470429946467</v>
      </c>
      <c r="F329" s="28">
        <f>(Fuentes!F1740/Fuentes!F$47)*100000</f>
        <v>7.3414162326054314E-2</v>
      </c>
      <c r="G329" s="28">
        <f>(Fuentes!G1740/Fuentes!G$47)*100000</f>
        <v>2.4085805199306427E-2</v>
      </c>
      <c r="H329" s="36">
        <f>(Fuentes!H1740/Fuentes!H$47)*100000</f>
        <v>0</v>
      </c>
      <c r="I329" s="28">
        <f>(Fuentes!I1740/Fuentes!I$47)*100000</f>
        <v>2.3371825171268734E-2</v>
      </c>
      <c r="J329" s="28">
        <f>(Fuentes!J1740/Fuentes!J$47)*100000</f>
        <v>6.9118212879487786E-2</v>
      </c>
      <c r="K329" s="28">
        <f>(Fuentes!K1740/Fuentes!K$47)*100000</f>
        <v>9.0824665254343129E-2</v>
      </c>
      <c r="L329" s="28">
        <f>(Fuentes!L1740/Fuentes!L$47)*100000</f>
        <v>8.9498733257304161E-2</v>
      </c>
      <c r="M329" s="28">
        <f>(Fuentes!M1740/Fuentes!M$47)*100000</f>
        <v>6.6168287128018421E-2</v>
      </c>
      <c r="N329" s="28">
        <f>(Fuentes!N1740/Fuentes!N$47)*100000</f>
        <v>2.1776306376951781E-2</v>
      </c>
      <c r="O329" s="28">
        <f>(Fuentes!O1740/Fuentes!O$47)*100000</f>
        <v>4.2988093802599964E-2</v>
      </c>
      <c r="P329" s="28">
        <f>(Fuentes!P1740/Fuentes!P$47)*100000</f>
        <v>0</v>
      </c>
      <c r="Q329" s="28">
        <f>(Fuentes!Q1740/Fuentes!Q$47)*100000</f>
        <v>2.095066140190513E-2</v>
      </c>
      <c r="R329" s="28">
        <f>(Fuentes!R1740/Fuentes!R$47)*100000</f>
        <v>2.069439204739347E-2</v>
      </c>
      <c r="S329" s="28">
        <f>(Fuentes!S1740/Fuentes!S$47)*100000</f>
        <v>0</v>
      </c>
      <c r="T329" s="28">
        <f>(Fuentes!T1740/Fuentes!T$47)*100000</f>
        <v>0</v>
      </c>
      <c r="U329" s="28">
        <f>(Fuentes!U1740/Fuentes!U$47)*100000</f>
        <v>0</v>
      </c>
      <c r="V329" s="28">
        <f>(Fuentes!V1740/Fuentes!V$47)*100000</f>
        <v>0</v>
      </c>
    </row>
    <row r="330" spans="1:22" s="14" customFormat="1" ht="12.75" x14ac:dyDescent="0.2">
      <c r="A330" s="28" t="s">
        <v>3198</v>
      </c>
      <c r="B330" s="29" t="s">
        <v>3316</v>
      </c>
      <c r="C330" s="29">
        <f>(Fuentes!C1741/Fuentes!C$47)*100000</f>
        <v>1258.2285326038536</v>
      </c>
      <c r="D330" s="30">
        <f>(Fuentes!D1741/Fuentes!D$47)*100000</f>
        <v>1330.4520952002495</v>
      </c>
      <c r="E330" s="35">
        <f>(Fuentes!E1741/Fuentes!E$47)*100000</f>
        <v>1313.9069383663759</v>
      </c>
      <c r="F330" s="28">
        <f>(Fuentes!F1741/Fuentes!F$47)*100000</f>
        <v>1483.6512778346737</v>
      </c>
      <c r="G330" s="28">
        <f>(Fuentes!G1741/Fuentes!G$47)*100000</f>
        <v>1484.480431848853</v>
      </c>
      <c r="H330" s="28">
        <f>(Fuentes!H1741/Fuentes!H$47)*100000</f>
        <v>1521.9507843903846</v>
      </c>
      <c r="I330" s="28">
        <f>(Fuentes!I1741/Fuentes!I$47)*100000</f>
        <v>1520.5008301672301</v>
      </c>
      <c r="J330" s="28">
        <f>(Fuentes!J1741/Fuentes!J$47)*100000</f>
        <v>1521.9830476063212</v>
      </c>
      <c r="K330" s="28">
        <f>(Fuentes!K1741/Fuentes!K$47)*100000</f>
        <v>1546.8348739467176</v>
      </c>
      <c r="L330" s="28">
        <f>(Fuentes!L1741/Fuentes!L$47)*100000</f>
        <v>1810.3580016454343</v>
      </c>
      <c r="M330" s="28">
        <f>(Fuentes!M1741/Fuentes!M$47)*100000</f>
        <v>1836.7434262909544</v>
      </c>
      <c r="N330" s="36">
        <f>(Fuentes!N1741/Fuentes!N$47)*100000</f>
        <v>1772.634891696629</v>
      </c>
      <c r="O330" s="28">
        <f>(Fuentes!O1741/Fuentes!O$47)*100000</f>
        <v>2143.6657796073509</v>
      </c>
      <c r="P330" s="28">
        <f>(Fuentes!P1741/Fuentes!P$47)*100000</f>
        <v>2251.5660392891059</v>
      </c>
      <c r="Q330" s="28">
        <f>(Fuentes!Q1741/Fuentes!Q$47)*100000</f>
        <v>2375.0088778427689</v>
      </c>
      <c r="R330" s="28">
        <f>(Fuentes!R1741/Fuentes!R$47)*100000</f>
        <v>2179.678231175812</v>
      </c>
      <c r="S330" s="28">
        <f>(Fuentes!S1741/Fuentes!S$47)*100000</f>
        <v>2098.5111153098374</v>
      </c>
      <c r="T330" s="28">
        <f>(Fuentes!T1741/Fuentes!T$47)*100000</f>
        <v>2200.8169409847155</v>
      </c>
      <c r="U330" s="28">
        <f>(Fuentes!U1741/Fuentes!U$47)*100000</f>
        <v>2287.3677922162024</v>
      </c>
      <c r="V330" s="28">
        <f>(Fuentes!V1741/Fuentes!V$47)*100000</f>
        <v>2337.8612767618183</v>
      </c>
    </row>
    <row r="331" spans="1:22" s="14" customFormat="1" ht="12.75" x14ac:dyDescent="0.2">
      <c r="A331" s="28" t="s">
        <v>3198</v>
      </c>
      <c r="B331" s="29" t="s">
        <v>3317</v>
      </c>
      <c r="C331" s="29">
        <f>(Fuentes!C1742/Fuentes!C$47)*100000</f>
        <v>0</v>
      </c>
      <c r="D331" s="30">
        <f>(Fuentes!D1742/Fuentes!D$47)*100000</f>
        <v>0</v>
      </c>
      <c r="E331" s="35">
        <f>(Fuentes!E1742/Fuentes!E$47)*100000</f>
        <v>0</v>
      </c>
      <c r="F331" s="28">
        <f>(Fuentes!F1742/Fuentes!F$47)*100000</f>
        <v>8.1734434056340479</v>
      </c>
      <c r="G331" s="28">
        <f>(Fuentes!G1742/Fuentes!G$47)*100000</f>
        <v>11.055384586481649</v>
      </c>
      <c r="H331" s="36">
        <f>(Fuentes!H1742/Fuentes!H$47)*100000</f>
        <v>11.671911118871297</v>
      </c>
      <c r="I331" s="28">
        <f>(Fuentes!I1742/Fuentes!I$47)*100000</f>
        <v>12.340323690429893</v>
      </c>
      <c r="J331" s="28">
        <f>(Fuentes!J1742/Fuentes!J$47)*100000</f>
        <v>11.819214402392412</v>
      </c>
      <c r="K331" s="28">
        <f>(Fuentes!K1742/Fuentes!K$47)*100000</f>
        <v>2.5203844608080219</v>
      </c>
      <c r="L331" s="28">
        <f>(Fuentes!L1742/Fuentes!L$47)*100000</f>
        <v>2.4388404812615381</v>
      </c>
      <c r="M331" s="28">
        <f>(Fuentes!M1742/Fuentes!M$47)*100000</f>
        <v>0.92635601979225801</v>
      </c>
      <c r="N331" s="28">
        <f>(Fuentes!N1742/Fuentes!N$47)*100000</f>
        <v>0.23953937014646962</v>
      </c>
      <c r="O331" s="28">
        <f>(Fuentes!O1742/Fuentes!O$47)*100000</f>
        <v>0</v>
      </c>
      <c r="P331" s="28">
        <f>(Fuentes!P1742/Fuentes!P$47)*100000</f>
        <v>0</v>
      </c>
      <c r="Q331" s="28">
        <f>(Fuentes!Q1742/Fuentes!Q$47)*100000</f>
        <v>2.095066140190513E-2</v>
      </c>
      <c r="R331" s="28">
        <f>(Fuentes!R1742/Fuentes!R$47)*100000</f>
        <v>0</v>
      </c>
      <c r="S331" s="28">
        <f>(Fuentes!S1742/Fuentes!S$47)*100000</f>
        <v>2.0448342171106821E-2</v>
      </c>
      <c r="T331" s="28">
        <f>(Fuentes!T1742/Fuentes!T$47)*100000</f>
        <v>0</v>
      </c>
      <c r="U331" s="28">
        <f>(Fuentes!U1742/Fuentes!U$47)*100000</f>
        <v>0</v>
      </c>
      <c r="V331" s="28">
        <f>(Fuentes!V1742/Fuentes!V$47)*100000</f>
        <v>0.1779359782396161</v>
      </c>
    </row>
    <row r="332" spans="1:22" s="14" customFormat="1" ht="12.75" x14ac:dyDescent="0.2">
      <c r="A332" s="28" t="s">
        <v>3198</v>
      </c>
      <c r="B332" s="29" t="s">
        <v>3318</v>
      </c>
      <c r="C332" s="29">
        <f>(Fuentes!C1743/Fuentes!C$47)*100000</f>
        <v>6.9466879147514851</v>
      </c>
      <c r="D332" s="30">
        <f>(Fuentes!D1743/Fuentes!D$47)*100000</f>
        <v>8.1449023661447271</v>
      </c>
      <c r="E332" s="35">
        <f>(Fuentes!E1743/Fuentes!E$47)*100000</f>
        <v>8.253715228427783</v>
      </c>
      <c r="F332" s="28">
        <f>(Fuentes!F1743/Fuentes!F$47)*100000</f>
        <v>7.9776723060979027</v>
      </c>
      <c r="G332" s="28">
        <f>(Fuentes!G1743/Fuentes!G$47)*100000</f>
        <v>9.6102362745232632</v>
      </c>
      <c r="H332" s="28">
        <f>(Fuentes!H1743/Fuentes!H$47)*100000</f>
        <v>9.0386140981503331</v>
      </c>
      <c r="I332" s="28">
        <f>(Fuentes!I1743/Fuentes!I$47)*100000</f>
        <v>6.8479447751817384</v>
      </c>
      <c r="J332" s="28">
        <f>(Fuentes!J1743/Fuentes!J$47)*100000</f>
        <v>7.6490822253299813</v>
      </c>
      <c r="K332" s="28">
        <f>(Fuentes!K1743/Fuentes!K$47)*100000</f>
        <v>8.5148123675946668</v>
      </c>
      <c r="L332" s="28">
        <f>(Fuentes!L1743/Fuentes!L$47)*100000</f>
        <v>11.053093557277064</v>
      </c>
      <c r="M332" s="28">
        <f>(Fuentes!M1743/Fuentes!M$47)*100000</f>
        <v>9.3297284850505982</v>
      </c>
      <c r="N332" s="36">
        <f>(Fuentes!N1743/Fuentes!N$47)*100000</f>
        <v>8.9282856145502318</v>
      </c>
      <c r="O332" s="28">
        <f>(Fuentes!O1743/Fuentes!O$47)*100000</f>
        <v>10.231166325018792</v>
      </c>
      <c r="P332" s="28">
        <f>(Fuentes!P1743/Fuentes!P$47)*100000</f>
        <v>9.4840748168321749</v>
      </c>
      <c r="Q332" s="28">
        <f>(Fuentes!Q1743/Fuentes!Q$47)*100000</f>
        <v>9.0506857256230138</v>
      </c>
      <c r="R332" s="28">
        <f>(Fuentes!R1743/Fuentes!R$47)*100000</f>
        <v>9.291782029279668</v>
      </c>
      <c r="S332" s="28">
        <f>(Fuentes!S1743/Fuentes!S$47)*100000</f>
        <v>12.350798671348519</v>
      </c>
      <c r="T332" s="28">
        <f>(Fuentes!T1743/Fuentes!T$47)*100000</f>
        <v>9.4189346053072249</v>
      </c>
      <c r="U332" s="28">
        <f>(Fuentes!U1743/Fuentes!U$47)*100000</f>
        <v>7.9745884442817108</v>
      </c>
      <c r="V332" s="28">
        <f>(Fuentes!V1743/Fuentes!V$47)*100000</f>
        <v>10.399369394893119</v>
      </c>
    </row>
    <row r="333" spans="1:22" s="14" customFormat="1" ht="12.75" x14ac:dyDescent="0.2">
      <c r="A333" s="28" t="s">
        <v>3198</v>
      </c>
      <c r="B333" s="29" t="s">
        <v>3319</v>
      </c>
      <c r="C333" s="29">
        <f>(Fuentes!C1744/Fuentes!C$47)*100000</f>
        <v>0</v>
      </c>
      <c r="D333" s="30">
        <f>(Fuentes!D1744/Fuentes!D$47)*100000</f>
        <v>0</v>
      </c>
      <c r="E333" s="35">
        <f>(Fuentes!E1744/Fuentes!E$47)*100000</f>
        <v>0</v>
      </c>
      <c r="F333" s="28">
        <f>(Fuentes!F1744/Fuentes!F$47)*100000</f>
        <v>0</v>
      </c>
      <c r="G333" s="28">
        <f>(Fuentes!G1744/Fuentes!G$47)*100000</f>
        <v>0.16860063639514497</v>
      </c>
      <c r="H333" s="36">
        <f>(Fuentes!H1744/Fuentes!H$47)*100000</f>
        <v>0.35585094874607615</v>
      </c>
      <c r="I333" s="28">
        <f>(Fuentes!I1744/Fuentes!I$47)*100000</f>
        <v>0.79464205582313707</v>
      </c>
      <c r="J333" s="28">
        <f>(Fuentes!J1744/Fuentes!J$47)*100000</f>
        <v>0.23039404293162596</v>
      </c>
      <c r="K333" s="28">
        <f>(Fuentes!K1744/Fuentes!K$47)*100000</f>
        <v>0.29518016207661513</v>
      </c>
      <c r="L333" s="28">
        <f>(Fuentes!L1744/Fuentes!L$47)*100000</f>
        <v>0.58174176617247708</v>
      </c>
      <c r="M333" s="28">
        <f>(Fuentes!M1744/Fuentes!M$47)*100000</f>
        <v>0.66168287128018433</v>
      </c>
      <c r="N333" s="28">
        <f>(Fuentes!N1744/Fuentes!N$47)*100000</f>
        <v>0.10888153188475892</v>
      </c>
      <c r="O333" s="28">
        <f>(Fuentes!O1744/Fuentes!O$47)*100000</f>
        <v>0.15045832830909986</v>
      </c>
      <c r="P333" s="28">
        <f>(Fuentes!P1744/Fuentes!P$47)*100000</f>
        <v>18.480154732574551</v>
      </c>
      <c r="Q333" s="28">
        <f>(Fuentes!Q1744/Fuentes!Q$47)*100000</f>
        <v>4.1901322803810259E-2</v>
      </c>
      <c r="R333" s="28">
        <f>(Fuentes!R1744/Fuentes!R$47)*100000</f>
        <v>2.069439204739347E-2</v>
      </c>
      <c r="S333" s="28">
        <f>(Fuentes!S1744/Fuentes!S$47)*100000</f>
        <v>0.18403507953996137</v>
      </c>
      <c r="T333" s="28">
        <f>(Fuentes!T1744/Fuentes!T$47)*100000</f>
        <v>0.32339689631956142</v>
      </c>
      <c r="U333" s="28">
        <f>(Fuentes!U1744/Fuentes!U$47)*100000</f>
        <v>0.37974230687055766</v>
      </c>
      <c r="V333" s="28">
        <f>(Fuentes!V1744/Fuentes!V$47)*100000</f>
        <v>0.47449594197230954</v>
      </c>
    </row>
    <row r="334" spans="1:22" s="14" customFormat="1" ht="12.75" x14ac:dyDescent="0.2">
      <c r="A334" s="28" t="s">
        <v>3198</v>
      </c>
      <c r="B334" s="29" t="s">
        <v>3320</v>
      </c>
      <c r="C334" s="29">
        <f>(Fuentes!C1745/Fuentes!C$47)*100000</f>
        <v>1.6785677117429241</v>
      </c>
      <c r="D334" s="30">
        <f>(Fuentes!D1745/Fuentes!D$47)*100000</f>
        <v>2.1247571389942763</v>
      </c>
      <c r="E334" s="35">
        <f>(Fuentes!E1745/Fuentes!E$47)*100000</f>
        <v>3.008131152529403</v>
      </c>
      <c r="F334" s="28">
        <f>(Fuentes!F1745/Fuentes!F$47)*100000</f>
        <v>2.0800679325715392</v>
      </c>
      <c r="G334" s="28">
        <f>(Fuentes!G1745/Fuentes!G$47)*100000</f>
        <v>4.504045572270301</v>
      </c>
      <c r="H334" s="28">
        <f>(Fuentes!H1745/Fuentes!H$47)*100000</f>
        <v>5.71733857652029</v>
      </c>
      <c r="I334" s="28">
        <f>(Fuentes!I1745/Fuentes!I$47)*100000</f>
        <v>2.7812471953809794</v>
      </c>
      <c r="J334" s="28">
        <f>(Fuentes!J1745/Fuentes!J$47)*100000</f>
        <v>2.0735463863846335</v>
      </c>
      <c r="K334" s="28">
        <f>(Fuentes!K1745/Fuentes!K$47)*100000</f>
        <v>1.7710809724596908</v>
      </c>
      <c r="L334" s="28">
        <f>(Fuentes!L1745/Fuentes!L$47)*100000</f>
        <v>1.4319797321168666</v>
      </c>
      <c r="M334" s="28">
        <f>(Fuentes!M1745/Fuentes!M$47)*100000</f>
        <v>2.2497217623526269</v>
      </c>
      <c r="N334" s="36">
        <f>(Fuentes!N1745/Fuentes!N$47)*100000</f>
        <v>1.7203282037791909</v>
      </c>
      <c r="O334" s="28">
        <f>(Fuentes!O1745/Fuentes!O$47)*100000</f>
        <v>2.170898737031298</v>
      </c>
      <c r="P334" s="28">
        <f>(Fuentes!P1745/Fuentes!P$47)*100000</f>
        <v>3.7130046822049896</v>
      </c>
      <c r="Q334" s="28">
        <f>(Fuentes!Q1745/Fuentes!Q$47)*100000</f>
        <v>4.1901322803810253</v>
      </c>
      <c r="R334" s="28">
        <f>(Fuentes!R1745/Fuentes!R$47)*100000</f>
        <v>10.367890415744128</v>
      </c>
      <c r="S334" s="28">
        <f>(Fuentes!S1745/Fuentes!S$47)*100000</f>
        <v>10.449102849435585</v>
      </c>
      <c r="T334" s="28">
        <f>(Fuentes!T1745/Fuentes!T$47)*100000</f>
        <v>10.409337600285884</v>
      </c>
      <c r="U334" s="28">
        <f>(Fuentes!U1745/Fuentes!U$47)*100000</f>
        <v>9.8133406670233576</v>
      </c>
      <c r="V334" s="28">
        <f>(Fuentes!V1745/Fuentes!V$47)*100000</f>
        <v>5.2194553616954051</v>
      </c>
    </row>
    <row r="335" spans="1:22" s="14" customFormat="1" ht="12.75" x14ac:dyDescent="0.2">
      <c r="A335" s="28" t="s">
        <v>3198</v>
      </c>
      <c r="B335" s="29" t="s">
        <v>3321</v>
      </c>
      <c r="C335" s="29">
        <f>(Fuentes!C1746/Fuentes!C$47)*100000</f>
        <v>116.8799609745919</v>
      </c>
      <c r="D335" s="30">
        <f>(Fuentes!D1746/Fuentes!D$47)*100000</f>
        <v>81.600792028518285</v>
      </c>
      <c r="E335" s="35">
        <f>(Fuentes!E1746/Fuentes!E$47)*100000</f>
        <v>70.181440029673595</v>
      </c>
      <c r="F335" s="28">
        <f>(Fuentes!F1746/Fuentes!F$47)*100000</f>
        <v>96.12360987224713</v>
      </c>
      <c r="G335" s="28">
        <f>(Fuentes!G1746/Fuentes!G$47)*100000</f>
        <v>121.92234591888914</v>
      </c>
      <c r="H335" s="36">
        <f>(Fuentes!H1746/Fuentes!H$47)*100000</f>
        <v>126.96761851259998</v>
      </c>
      <c r="I335" s="28">
        <f>(Fuentes!I1746/Fuentes!I$47)*100000</f>
        <v>114.19473778681905</v>
      </c>
      <c r="J335" s="28">
        <f>(Fuentes!J1746/Fuentes!J$47)*100000</f>
        <v>119.68970530297969</v>
      </c>
      <c r="K335" s="28">
        <f>(Fuentes!K1746/Fuentes!K$47)*100000</f>
        <v>116.75510718445808</v>
      </c>
      <c r="L335" s="28">
        <f>(Fuentes!L1746/Fuentes!L$47)*100000</f>
        <v>134.65084418561409</v>
      </c>
      <c r="M335" s="28">
        <f>(Fuentes!M1746/Fuentes!M$47)*100000</f>
        <v>163.39155701478686</v>
      </c>
      <c r="N335" s="28">
        <f>(Fuentes!N1746/Fuentes!N$47)*100000</f>
        <v>188.62636583715636</v>
      </c>
      <c r="O335" s="28">
        <f>(Fuentes!O1746/Fuentes!O$47)*100000</f>
        <v>230.8030756261592</v>
      </c>
      <c r="P335" s="28">
        <f>(Fuentes!P1746/Fuentes!P$47)*100000</f>
        <v>197.63793494136848</v>
      </c>
      <c r="Q335" s="28">
        <f>(Fuentes!Q1746/Fuentes!Q$47)*100000</f>
        <v>180.86705988264697</v>
      </c>
      <c r="R335" s="28">
        <f>(Fuentes!R1746/Fuentes!R$47)*100000</f>
        <v>124.55954573326129</v>
      </c>
      <c r="S335" s="28">
        <f>(Fuentes!S1746/Fuentes!S$47)*100000</f>
        <v>143.15884353991885</v>
      </c>
      <c r="T335" s="28">
        <f>(Fuentes!T1746/Fuentes!T$47)*100000</f>
        <v>155.33157176348934</v>
      </c>
      <c r="U335" s="28">
        <f>(Fuentes!U1746/Fuentes!U$47)*100000</f>
        <v>112.66354651733334</v>
      </c>
      <c r="V335" s="28">
        <f>(Fuentes!V1746/Fuentes!V$47)*100000</f>
        <v>105.06130981836888</v>
      </c>
    </row>
    <row r="336" spans="1:22" s="14" customFormat="1" ht="12.75" x14ac:dyDescent="0.2">
      <c r="A336" s="28" t="s">
        <v>3198</v>
      </c>
      <c r="B336" s="29" t="s">
        <v>3322</v>
      </c>
      <c r="C336" s="29">
        <f>(Fuentes!C1747/Fuentes!C$47)*100000</f>
        <v>0</v>
      </c>
      <c r="D336" s="30">
        <f>(Fuentes!D1747/Fuentes!D$47)*100000</f>
        <v>0</v>
      </c>
      <c r="E336" s="35">
        <f>(Fuentes!E1747/Fuentes!E$47)*100000</f>
        <v>0</v>
      </c>
      <c r="F336" s="28">
        <f>(Fuentes!F1747/Fuentes!F$47)*100000</f>
        <v>0</v>
      </c>
      <c r="G336" s="28">
        <f>(Fuentes!G1747/Fuentes!G$47)*100000</f>
        <v>0</v>
      </c>
      <c r="H336" s="28">
        <f>(Fuentes!H1747/Fuentes!H$47)*100000</f>
        <v>0</v>
      </c>
      <c r="I336" s="28">
        <f>(Fuentes!I1747/Fuentes!I$47)*100000</f>
        <v>0</v>
      </c>
      <c r="J336" s="28">
        <f>(Fuentes!J1747/Fuentes!J$47)*100000</f>
        <v>0</v>
      </c>
      <c r="K336" s="28">
        <f>(Fuentes!K1747/Fuentes!K$47)*100000</f>
        <v>0</v>
      </c>
      <c r="L336" s="28">
        <f>(Fuentes!L1747/Fuentes!L$47)*100000</f>
        <v>0</v>
      </c>
      <c r="M336" s="28">
        <f>(Fuentes!M1747/Fuentes!M$47)*100000</f>
        <v>2.6467314851207373</v>
      </c>
      <c r="N336" s="36">
        <f>(Fuentes!N1747/Fuentes!N$47)*100000</f>
        <v>2.3082884759568891</v>
      </c>
      <c r="O336" s="28">
        <f>(Fuentes!O1747/Fuentes!O$47)*100000</f>
        <v>2.5148034874520979</v>
      </c>
      <c r="P336" s="28">
        <f>(Fuentes!P1747/Fuentes!P$47)*100000</f>
        <v>4.413171279420788</v>
      </c>
      <c r="Q336" s="28">
        <f>(Fuentes!Q1747/Fuentes!Q$47)*100000</f>
        <v>4.1691816189791204</v>
      </c>
      <c r="R336" s="28">
        <f>(Fuentes!R1747/Fuentes!R$47)*100000</f>
        <v>3.2490195514407745</v>
      </c>
      <c r="S336" s="28">
        <f>(Fuentes!S1747/Fuentes!S$47)*100000</f>
        <v>2.8832162461260613</v>
      </c>
      <c r="T336" s="28">
        <f>(Fuentes!T1747/Fuentes!T$47)*100000</f>
        <v>3.2743935752355595</v>
      </c>
      <c r="U336" s="28">
        <f>(Fuentes!U1747/Fuentes!U$47)*100000</f>
        <v>3.617545133872154</v>
      </c>
      <c r="V336" s="28">
        <f>(Fuentes!V1747/Fuentes!V$47)*100000</f>
        <v>3.4796369077969369</v>
      </c>
    </row>
    <row r="337" spans="1:22" s="14" customFormat="1" ht="12.75" x14ac:dyDescent="0.2">
      <c r="A337" s="28" t="s">
        <v>3198</v>
      </c>
      <c r="B337" s="29" t="s">
        <v>3323</v>
      </c>
      <c r="C337" s="29">
        <f>(Fuentes!C1748/Fuentes!C$47)*100000</f>
        <v>42.713092234196864</v>
      </c>
      <c r="D337" s="30">
        <f>(Fuentes!D1748/Fuentes!D$47)*100000</f>
        <v>47.351730526158164</v>
      </c>
      <c r="E337" s="35">
        <f>(Fuentes!E1748/Fuentes!E$47)*100000</f>
        <v>48.503007261031946</v>
      </c>
      <c r="F337" s="28">
        <f>(Fuentes!F1748/Fuentes!F$47)*100000</f>
        <v>52.809254099875076</v>
      </c>
      <c r="G337" s="28">
        <f>(Fuentes!G1748/Fuentes!G$47)*100000</f>
        <v>49.833530957364992</v>
      </c>
      <c r="H337" s="36">
        <f>(Fuentes!H1748/Fuentes!H$47)*100000</f>
        <v>55.322960831723307</v>
      </c>
      <c r="I337" s="28">
        <f>(Fuentes!I1748/Fuentes!I$47)*100000</f>
        <v>47.865497950758368</v>
      </c>
      <c r="J337" s="28">
        <f>(Fuentes!J1748/Fuentes!J$47)*100000</f>
        <v>47.299897013862811</v>
      </c>
      <c r="K337" s="28">
        <f>(Fuentes!K1748/Fuentes!K$47)*100000</f>
        <v>57.083302112354659</v>
      </c>
      <c r="L337" s="28">
        <f>(Fuentes!L1748/Fuentes!L$47)*100000</f>
        <v>103.48291032875794</v>
      </c>
      <c r="M337" s="28">
        <f>(Fuentes!M1748/Fuentes!M$47)*100000</f>
        <v>126.22703574454984</v>
      </c>
      <c r="N337" s="28">
        <f>(Fuentes!N1748/Fuentes!N$47)*100000</f>
        <v>117.65738335467047</v>
      </c>
      <c r="O337" s="28">
        <f>(Fuentes!O1748/Fuentes!O$47)*100000</f>
        <v>99.753871668933215</v>
      </c>
      <c r="P337" s="28">
        <f>(Fuentes!P1748/Fuentes!P$47)*100000</f>
        <v>123.95070487680887</v>
      </c>
      <c r="Q337" s="28">
        <f>(Fuentes!Q1748/Fuentes!Q$47)*100000</f>
        <v>124.76118864834503</v>
      </c>
      <c r="R337" s="28">
        <f>(Fuentes!R1748/Fuentes!R$47)*100000</f>
        <v>119.22039258503378</v>
      </c>
      <c r="S337" s="28">
        <f>(Fuentes!S1748/Fuentes!S$47)*100000</f>
        <v>121.17687570597901</v>
      </c>
      <c r="T337" s="28">
        <f>(Fuentes!T1748/Fuentes!T$47)*100000</f>
        <v>127.45880176194713</v>
      </c>
      <c r="U337" s="28">
        <f>(Fuentes!U1748/Fuentes!U$47)*100000</f>
        <v>129.89185538693442</v>
      </c>
      <c r="V337" s="28">
        <f>(Fuentes!V1748/Fuentes!V$47)*100000</f>
        <v>130.0909707574082</v>
      </c>
    </row>
    <row r="338" spans="1:22" s="14" customFormat="1" ht="12.75" x14ac:dyDescent="0.2">
      <c r="A338" s="28" t="s">
        <v>3198</v>
      </c>
      <c r="B338" s="29" t="s">
        <v>3324</v>
      </c>
      <c r="C338" s="29">
        <f>(Fuentes!C1749/Fuentes!C$47)*100000</f>
        <v>0</v>
      </c>
      <c r="D338" s="30">
        <f>(Fuentes!D1749/Fuentes!D$47)*100000</f>
        <v>0</v>
      </c>
      <c r="E338" s="35">
        <f>(Fuentes!E1749/Fuentes!E$47)*100000</f>
        <v>2.4860588037433084E-2</v>
      </c>
      <c r="F338" s="28">
        <f>(Fuentes!F1749/Fuentes!F$47)*100000</f>
        <v>0</v>
      </c>
      <c r="G338" s="28">
        <f>(Fuentes!G1749/Fuentes!G$47)*100000</f>
        <v>0</v>
      </c>
      <c r="H338" s="28">
        <f>(Fuentes!H1749/Fuentes!H$47)*100000</f>
        <v>0.11861698291535872</v>
      </c>
      <c r="I338" s="28">
        <f>(Fuentes!I1749/Fuentes!I$47)*100000</f>
        <v>0</v>
      </c>
      <c r="J338" s="28">
        <f>(Fuentes!J1749/Fuentes!J$47)*100000</f>
        <v>0</v>
      </c>
      <c r="K338" s="28">
        <f>(Fuentes!K1749/Fuentes!K$47)*100000</f>
        <v>0</v>
      </c>
      <c r="L338" s="28">
        <f>(Fuentes!L1749/Fuentes!L$47)*100000</f>
        <v>0</v>
      </c>
      <c r="M338" s="28">
        <f>(Fuentes!M1749/Fuentes!M$47)*100000</f>
        <v>0</v>
      </c>
      <c r="N338" s="36">
        <f>(Fuentes!N1749/Fuentes!N$47)*100000</f>
        <v>0</v>
      </c>
      <c r="O338" s="28">
        <f>(Fuentes!O1749/Fuentes!O$47)*100000</f>
        <v>0</v>
      </c>
      <c r="P338" s="28">
        <f>(Fuentes!P1749/Fuentes!P$47)*100000</f>
        <v>0</v>
      </c>
      <c r="Q338" s="28">
        <f>(Fuentes!Q1749/Fuentes!Q$47)*100000</f>
        <v>0</v>
      </c>
      <c r="R338" s="28">
        <f>(Fuentes!R1749/Fuentes!R$47)*100000</f>
        <v>0</v>
      </c>
      <c r="S338" s="28">
        <f>(Fuentes!S1749/Fuentes!S$47)*100000</f>
        <v>0</v>
      </c>
      <c r="T338" s="28">
        <f>(Fuentes!T1749/Fuentes!T$47)*100000</f>
        <v>0</v>
      </c>
      <c r="U338" s="28">
        <f>(Fuentes!U1749/Fuentes!U$47)*100000</f>
        <v>0</v>
      </c>
      <c r="V338" s="28">
        <f>(Fuentes!V1749/Fuentes!V$47)*100000</f>
        <v>0</v>
      </c>
    </row>
    <row r="339" spans="1:22" s="14" customFormat="1" ht="12.75" x14ac:dyDescent="0.2">
      <c r="A339" s="28" t="s">
        <v>3198</v>
      </c>
      <c r="B339" s="29" t="s">
        <v>3325</v>
      </c>
      <c r="C339" s="29">
        <f>(Fuentes!C1750/Fuentes!C$47)*100000</f>
        <v>0</v>
      </c>
      <c r="D339" s="30">
        <f>(Fuentes!D1750/Fuentes!D$47)*100000</f>
        <v>0</v>
      </c>
      <c r="E339" s="35">
        <f>(Fuentes!E1750/Fuentes!E$47)*100000</f>
        <v>0</v>
      </c>
      <c r="F339" s="28">
        <f>(Fuentes!F1750/Fuentes!F$47)*100000</f>
        <v>0</v>
      </c>
      <c r="G339" s="28">
        <f>(Fuentes!G1750/Fuentes!G$47)*100000</f>
        <v>0</v>
      </c>
      <c r="H339" s="36">
        <f>(Fuentes!H1750/Fuentes!H$47)*100000</f>
        <v>0</v>
      </c>
      <c r="I339" s="28">
        <f>(Fuentes!I1750/Fuentes!I$47)*100000</f>
        <v>0</v>
      </c>
      <c r="J339" s="28">
        <f>(Fuentes!J1750/Fuentes!J$47)*100000</f>
        <v>0</v>
      </c>
      <c r="K339" s="28">
        <f>(Fuentes!K1750/Fuentes!K$47)*100000</f>
        <v>0</v>
      </c>
      <c r="L339" s="28">
        <f>(Fuentes!L1750/Fuentes!L$47)*100000</f>
        <v>0</v>
      </c>
      <c r="M339" s="28">
        <f>(Fuentes!M1750/Fuentes!M$47)*100000</f>
        <v>0</v>
      </c>
      <c r="N339" s="28">
        <f>(Fuentes!N1750/Fuentes!N$47)*100000</f>
        <v>0</v>
      </c>
      <c r="O339" s="28">
        <f>(Fuentes!O1750/Fuentes!O$47)*100000</f>
        <v>0</v>
      </c>
      <c r="P339" s="28">
        <f>(Fuentes!P1750/Fuentes!P$47)*100000</f>
        <v>0</v>
      </c>
      <c r="Q339" s="28">
        <f>(Fuentes!Q1750/Fuentes!Q$47)*100000</f>
        <v>2.095066140190513E-2</v>
      </c>
      <c r="R339" s="28">
        <f>(Fuentes!R1750/Fuentes!R$47)*100000</f>
        <v>0</v>
      </c>
      <c r="S339" s="28">
        <f>(Fuentes!S1750/Fuentes!S$47)*100000</f>
        <v>0</v>
      </c>
      <c r="T339" s="28">
        <f>(Fuentes!T1750/Fuentes!T$47)*100000</f>
        <v>0.34360920233953401</v>
      </c>
      <c r="U339" s="28">
        <f>(Fuentes!U1750/Fuentes!U$47)*100000</f>
        <v>0.41971518127798474</v>
      </c>
      <c r="V339" s="28">
        <f>(Fuentes!V1750/Fuentes!V$47)*100000</f>
        <v>3.9541328497692464E-2</v>
      </c>
    </row>
    <row r="340" spans="1:22" s="14" customFormat="1" ht="12.75" x14ac:dyDescent="0.2">
      <c r="A340" s="28" t="s">
        <v>3198</v>
      </c>
      <c r="B340" s="29" t="s">
        <v>3326</v>
      </c>
      <c r="C340" s="29">
        <f>(Fuentes!C1751/Fuentes!C$47)*100000</f>
        <v>0</v>
      </c>
      <c r="D340" s="30">
        <f>(Fuentes!D1751/Fuentes!D$47)*100000</f>
        <v>0</v>
      </c>
      <c r="E340" s="35">
        <f>(Fuentes!E1751/Fuentes!E$47)*100000</f>
        <v>0</v>
      </c>
      <c r="F340" s="28">
        <f>(Fuentes!F1751/Fuentes!F$47)*100000</f>
        <v>0</v>
      </c>
      <c r="G340" s="28">
        <f>(Fuentes!G1751/Fuentes!G$47)*100000</f>
        <v>0</v>
      </c>
      <c r="H340" s="28">
        <f>(Fuentes!H1751/Fuentes!H$47)*100000</f>
        <v>0</v>
      </c>
      <c r="I340" s="28">
        <f>(Fuentes!I1751/Fuentes!I$47)*100000</f>
        <v>0</v>
      </c>
      <c r="J340" s="28">
        <f>(Fuentes!J1751/Fuentes!J$47)*100000</f>
        <v>0</v>
      </c>
      <c r="K340" s="28">
        <f>(Fuentes!K1751/Fuentes!K$47)*100000</f>
        <v>0</v>
      </c>
      <c r="L340" s="28">
        <f>(Fuentes!L1751/Fuentes!L$47)*100000</f>
        <v>0</v>
      </c>
      <c r="M340" s="28">
        <f>(Fuentes!M1751/Fuentes!M$47)*100000</f>
        <v>0</v>
      </c>
      <c r="N340" s="36">
        <f>(Fuentes!N1751/Fuentes!N$47)*100000</f>
        <v>0</v>
      </c>
      <c r="O340" s="28">
        <f>(Fuentes!O1751/Fuentes!O$47)*100000</f>
        <v>0</v>
      </c>
      <c r="P340" s="28">
        <f>(Fuentes!P1751/Fuentes!P$47)*100000</f>
        <v>0</v>
      </c>
      <c r="Q340" s="28">
        <f>(Fuentes!Q1751/Fuentes!Q$47)*100000</f>
        <v>0</v>
      </c>
      <c r="R340" s="28">
        <f>(Fuentes!R1751/Fuentes!R$47)*100000</f>
        <v>0</v>
      </c>
      <c r="S340" s="28">
        <f>(Fuentes!S1751/Fuentes!S$47)*100000</f>
        <v>0</v>
      </c>
      <c r="T340" s="28">
        <f>(Fuentes!T1751/Fuentes!T$47)*100000</f>
        <v>0.40424612039945174</v>
      </c>
      <c r="U340" s="28">
        <f>(Fuentes!U1751/Fuentes!U$47)*100000</f>
        <v>0.61957955331512038</v>
      </c>
      <c r="V340" s="28">
        <f>(Fuentes!V1751/Fuentes!V$47)*100000</f>
        <v>0.31633062798153971</v>
      </c>
    </row>
    <row r="341" spans="1:22" s="14" customFormat="1" ht="12.75" x14ac:dyDescent="0.2">
      <c r="A341" s="28" t="s">
        <v>3198</v>
      </c>
      <c r="B341" s="29" t="s">
        <v>3327</v>
      </c>
      <c r="C341" s="29">
        <f>(Fuentes!C1752/Fuentes!C$47)*100000</f>
        <v>79.796526604394387</v>
      </c>
      <c r="D341" s="30">
        <f>(Fuentes!D1752/Fuentes!D$47)*100000</f>
        <v>80.158992541343594</v>
      </c>
      <c r="E341" s="35">
        <f>(Fuentes!E1752/Fuentes!E$47)*100000</f>
        <v>89.796443991208307</v>
      </c>
      <c r="F341" s="28">
        <f>(Fuentes!F1752/Fuentes!F$47)*100000</f>
        <v>86.457411832649967</v>
      </c>
      <c r="G341" s="28">
        <f>(Fuentes!G1752/Fuentes!G$47)*100000</f>
        <v>93.982811887693671</v>
      </c>
      <c r="H341" s="36">
        <f>(Fuentes!H1752/Fuentes!H$47)*100000</f>
        <v>89.95911984300804</v>
      </c>
      <c r="I341" s="28">
        <f>(Fuentes!I1752/Fuentes!I$47)*100000</f>
        <v>64.810071199928203</v>
      </c>
      <c r="J341" s="28">
        <f>(Fuentes!J1752/Fuentes!J$47)*100000</f>
        <v>64.902001893839028</v>
      </c>
      <c r="K341" s="28">
        <f>(Fuentes!K1752/Fuentes!K$47)*100000</f>
        <v>63.577265678040185</v>
      </c>
      <c r="L341" s="28">
        <f>(Fuentes!L1752/Fuentes!L$47)*100000</f>
        <v>82.092713080262243</v>
      </c>
      <c r="M341" s="28">
        <f>(Fuentes!M1752/Fuentes!M$47)*100000</f>
        <v>79.446056745040792</v>
      </c>
      <c r="N341" s="28">
        <f>(Fuentes!N1752/Fuentes!N$47)*100000</f>
        <v>72.493323928872485</v>
      </c>
      <c r="O341" s="28">
        <f>(Fuentes!O1752/Fuentes!O$47)*100000</f>
        <v>99.968812137946216</v>
      </c>
      <c r="P341" s="28">
        <f>(Fuentes!P1752/Fuentes!P$47)*100000</f>
        <v>115.56992287983189</v>
      </c>
      <c r="Q341" s="28">
        <f>(Fuentes!Q1752/Fuentes!Q$47)*100000</f>
        <v>128.23899844106128</v>
      </c>
      <c r="R341" s="28">
        <f>(Fuentes!R1752/Fuentes!R$47)*100000</f>
        <v>131.8853605180386</v>
      </c>
      <c r="S341" s="28">
        <f>(Fuentes!S1752/Fuentes!S$47)*100000</f>
        <v>134.34560806417178</v>
      </c>
      <c r="T341" s="28">
        <f>(Fuentes!T1752/Fuentes!T$47)*100000</f>
        <v>185.58939387538828</v>
      </c>
      <c r="U341" s="28">
        <f>(Fuentes!U1752/Fuentes!U$47)*100000</f>
        <v>222.30914101690593</v>
      </c>
      <c r="V341" s="28">
        <f>(Fuentes!V1752/Fuentes!V$47)*100000</f>
        <v>240.33219460897482</v>
      </c>
    </row>
    <row r="342" spans="1:22" s="14" customFormat="1" ht="12.75" x14ac:dyDescent="0.2">
      <c r="A342" s="28" t="s">
        <v>3198</v>
      </c>
      <c r="B342" s="29" t="s">
        <v>3328</v>
      </c>
      <c r="C342" s="29">
        <f>(Fuentes!C1753/Fuentes!C$47)*100000</f>
        <v>4.6225172369535903</v>
      </c>
      <c r="D342" s="30">
        <f>(Fuentes!D1753/Fuentes!D$47)*100000</f>
        <v>3.1618409806462449</v>
      </c>
      <c r="E342" s="35">
        <f>(Fuentes!E1753/Fuentes!E$47)*100000</f>
        <v>2.7346646841176394</v>
      </c>
      <c r="F342" s="28">
        <f>(Fuentes!F1753/Fuentes!F$47)*100000</f>
        <v>3.4504656293245533</v>
      </c>
      <c r="G342" s="28">
        <f>(Fuentes!G1753/Fuentes!G$47)*100000</f>
        <v>3.1552404811091419</v>
      </c>
      <c r="H342" s="28">
        <f>(Fuentes!H1753/Fuentes!H$47)*100000</f>
        <v>3.1077649523823982</v>
      </c>
      <c r="I342" s="28">
        <f>(Fuentes!I1753/Fuentes!I$47)*100000</f>
        <v>3.342170999491429</v>
      </c>
      <c r="J342" s="28">
        <f>(Fuentes!J1753/Fuentes!J$47)*100000</f>
        <v>2.5112950679547232</v>
      </c>
      <c r="K342" s="28">
        <f>(Fuentes!K1753/Fuentes!K$47)*100000</f>
        <v>1.3623699788151467</v>
      </c>
      <c r="L342" s="28">
        <f>(Fuentes!L1753/Fuentes!L$47)*100000</f>
        <v>0.42511898297219475</v>
      </c>
      <c r="M342" s="28">
        <f>(Fuentes!M1753/Fuentes!M$47)*100000</f>
        <v>0.39700972276811058</v>
      </c>
      <c r="N342" s="36">
        <f>(Fuentes!N1753/Fuentes!N$47)*100000</f>
        <v>0.45730243391598746</v>
      </c>
      <c r="O342" s="28">
        <f>(Fuentes!O1753/Fuentes!O$47)*100000</f>
        <v>0.81677378224939934</v>
      </c>
      <c r="P342" s="28">
        <f>(Fuentes!P1753/Fuentes!P$47)*100000</f>
        <v>0.5516464099275985</v>
      </c>
      <c r="Q342" s="28">
        <f>(Fuentes!Q1753/Fuentes!Q$47)*100000</f>
        <v>0.35616124383238718</v>
      </c>
      <c r="R342" s="28">
        <f>(Fuentes!R1753/Fuentes!R$47)*100000</f>
        <v>0.62083176142180407</v>
      </c>
      <c r="S342" s="28">
        <f>(Fuentes!S1753/Fuentes!S$47)*100000</f>
        <v>0.30672513256660233</v>
      </c>
      <c r="T342" s="28">
        <f>(Fuentes!T1753/Fuentes!T$47)*100000</f>
        <v>0</v>
      </c>
      <c r="U342" s="28">
        <f>(Fuentes!U1753/Fuentes!U$47)*100000</f>
        <v>0</v>
      </c>
      <c r="V342" s="28">
        <f>(Fuentes!V1753/Fuentes!V$47)*100000</f>
        <v>9.8853321244231157E-2</v>
      </c>
    </row>
    <row r="343" spans="1:22" s="14" customFormat="1" ht="12.75" x14ac:dyDescent="0.2">
      <c r="A343" s="28" t="s">
        <v>3198</v>
      </c>
      <c r="B343" s="29" t="s">
        <v>3329</v>
      </c>
      <c r="C343" s="29">
        <f>(Fuentes!C1754/Fuentes!C$47)*100000</f>
        <v>0</v>
      </c>
      <c r="D343" s="30">
        <f>(Fuentes!D1754/Fuentes!D$47)*100000</f>
        <v>0</v>
      </c>
      <c r="E343" s="35">
        <f>(Fuentes!E1754/Fuentes!E$47)*100000</f>
        <v>0</v>
      </c>
      <c r="F343" s="28">
        <f>(Fuentes!F1754/Fuentes!F$47)*100000</f>
        <v>0</v>
      </c>
      <c r="G343" s="28">
        <f>(Fuentes!G1754/Fuentes!G$47)*100000</f>
        <v>0</v>
      </c>
      <c r="H343" s="36">
        <f>(Fuentes!H1754/Fuentes!H$47)*100000</f>
        <v>0</v>
      </c>
      <c r="I343" s="28">
        <f>(Fuentes!I1754/Fuentes!I$47)*100000</f>
        <v>0</v>
      </c>
      <c r="J343" s="28">
        <f>(Fuentes!J1754/Fuentes!J$47)*100000</f>
        <v>0</v>
      </c>
      <c r="K343" s="28">
        <f>(Fuentes!K1754/Fuentes!K$47)*100000</f>
        <v>0</v>
      </c>
      <c r="L343" s="28">
        <f>(Fuentes!L1754/Fuentes!L$47)*100000</f>
        <v>0</v>
      </c>
      <c r="M343" s="28">
        <f>(Fuentes!M1754/Fuentes!M$47)*100000</f>
        <v>0.11028047854669738</v>
      </c>
      <c r="N343" s="28">
        <f>(Fuentes!N1754/Fuentes!N$47)*100000</f>
        <v>0.17421045101561425</v>
      </c>
      <c r="O343" s="28">
        <f>(Fuentes!O1754/Fuentes!O$47)*100000</f>
        <v>8.5976187605199927E-2</v>
      </c>
      <c r="P343" s="28">
        <f>(Fuentes!P1754/Fuentes!P$47)*100000</f>
        <v>8.4868678450399776E-2</v>
      </c>
      <c r="Q343" s="28">
        <f>(Fuentes!Q1754/Fuentes!Q$47)*100000</f>
        <v>4.1901322803810259E-2</v>
      </c>
      <c r="R343" s="28">
        <f>(Fuentes!R1754/Fuentes!R$47)*100000</f>
        <v>0.10347196023696735</v>
      </c>
      <c r="S343" s="28">
        <f>(Fuentes!S1754/Fuentes!S$47)*100000</f>
        <v>0.1022417108555341</v>
      </c>
      <c r="T343" s="28">
        <f>(Fuentes!T1754/Fuentes!T$47)*100000</f>
        <v>0.14148614213980812</v>
      </c>
      <c r="U343" s="28">
        <f>(Fuentes!U1754/Fuentes!U$47)*100000</f>
        <v>0.11991862322228136</v>
      </c>
      <c r="V343" s="28">
        <f>(Fuentes!V1754/Fuentes!V$47)*100000</f>
        <v>0.2965599637326935</v>
      </c>
    </row>
    <row r="344" spans="1:22" s="14" customFormat="1" ht="12.75" x14ac:dyDescent="0.2">
      <c r="A344" s="28" t="s">
        <v>3198</v>
      </c>
      <c r="B344" s="29" t="s">
        <v>3330</v>
      </c>
      <c r="C344" s="29">
        <f>(Fuentes!C1755/Fuentes!C$47)*100000</f>
        <v>0</v>
      </c>
      <c r="D344" s="30">
        <f>(Fuentes!D1755/Fuentes!D$47)*100000</f>
        <v>0</v>
      </c>
      <c r="E344" s="35">
        <f>(Fuentes!E1755/Fuentes!E$47)*100000</f>
        <v>0</v>
      </c>
      <c r="F344" s="28">
        <f>(Fuentes!F1755/Fuentes!F$47)*100000</f>
        <v>0</v>
      </c>
      <c r="G344" s="28">
        <f>(Fuentes!G1755/Fuentes!G$47)*100000</f>
        <v>0</v>
      </c>
      <c r="H344" s="28">
        <f>(Fuentes!H1755/Fuentes!H$47)*100000</f>
        <v>0</v>
      </c>
      <c r="I344" s="28">
        <f>(Fuentes!I1755/Fuentes!I$47)*100000</f>
        <v>0</v>
      </c>
      <c r="J344" s="28">
        <f>(Fuentes!J1755/Fuentes!J$47)*100000</f>
        <v>0</v>
      </c>
      <c r="K344" s="28">
        <f>(Fuentes!K1755/Fuentes!K$47)*100000</f>
        <v>0</v>
      </c>
      <c r="L344" s="28">
        <f>(Fuentes!L1755/Fuentes!L$47)*100000</f>
        <v>0</v>
      </c>
      <c r="M344" s="28">
        <f>(Fuentes!M1755/Fuentes!M$47)*100000</f>
        <v>0</v>
      </c>
      <c r="N344" s="36">
        <f>(Fuentes!N1755/Fuentes!N$47)*100000</f>
        <v>0</v>
      </c>
      <c r="O344" s="28">
        <f>(Fuentes!O1755/Fuentes!O$47)*100000</f>
        <v>0</v>
      </c>
      <c r="P344" s="28">
        <f>(Fuentes!P1755/Fuentes!P$47)*100000</f>
        <v>0</v>
      </c>
      <c r="Q344" s="28">
        <f>(Fuentes!Q1755/Fuentes!Q$47)*100000</f>
        <v>8.3802645607620518E-2</v>
      </c>
      <c r="R344" s="28">
        <f>(Fuentes!R1755/Fuentes!R$47)*100000</f>
        <v>0</v>
      </c>
      <c r="S344" s="28">
        <f>(Fuentes!S1755/Fuentes!S$47)*100000</f>
        <v>0</v>
      </c>
      <c r="T344" s="28">
        <f>(Fuentes!T1755/Fuentes!T$47)*100000</f>
        <v>9.115750015007638</v>
      </c>
      <c r="U344" s="28">
        <f>(Fuentes!U1755/Fuentes!U$47)*100000</f>
        <v>42.950853550780437</v>
      </c>
      <c r="V344" s="28">
        <f>(Fuentes!V1755/Fuentes!V$47)*100000</f>
        <v>65.361816006685643</v>
      </c>
    </row>
    <row r="345" spans="1:22" s="14" customFormat="1" ht="12.75" x14ac:dyDescent="0.2">
      <c r="A345" s="28" t="s">
        <v>3198</v>
      </c>
      <c r="B345" s="29" t="s">
        <v>3331</v>
      </c>
      <c r="C345" s="29">
        <f>(Fuentes!C1756/Fuentes!C$47)*100000</f>
        <v>12.318104592328844</v>
      </c>
      <c r="D345" s="30">
        <f>(Fuentes!D1756/Fuentes!D$47)*100000</f>
        <v>8.3978496445964268</v>
      </c>
      <c r="E345" s="35">
        <f>(Fuentes!E1756/Fuentes!E$47)*100000</f>
        <v>5.4196081921604122</v>
      </c>
      <c r="F345" s="28">
        <f>(Fuentes!F1756/Fuentes!F$47)*100000</f>
        <v>5.8241902112003094</v>
      </c>
      <c r="G345" s="28">
        <f>(Fuentes!G1756/Fuentes!G$47)*100000</f>
        <v>5.9973654946273003</v>
      </c>
      <c r="H345" s="36">
        <f>(Fuentes!H1756/Fuentes!H$47)*100000</f>
        <v>5.5987215936049308</v>
      </c>
      <c r="I345" s="28">
        <f>(Fuentes!I1756/Fuentes!I$47)*100000</f>
        <v>3.87972297843061</v>
      </c>
      <c r="J345" s="28">
        <f>(Fuentes!J1756/Fuentes!J$47)*100000</f>
        <v>2.8338467280589992</v>
      </c>
      <c r="K345" s="28">
        <f>(Fuentes!K1756/Fuentes!K$47)*100000</f>
        <v>3.4740434459786247</v>
      </c>
      <c r="L345" s="28">
        <f>(Fuentes!L1756/Fuentes!L$47)*100000</f>
        <v>3.7365721134924486</v>
      </c>
      <c r="M345" s="28">
        <f>(Fuentes!M1756/Fuentes!M$47)*100000</f>
        <v>2.9996290164701689</v>
      </c>
      <c r="N345" s="28">
        <f>(Fuentes!N1756/Fuentes!N$47)*100000</f>
        <v>2.6567093779881175</v>
      </c>
      <c r="O345" s="28">
        <f>(Fuentes!O1756/Fuentes!O$47)*100000</f>
        <v>2.4503213467481979</v>
      </c>
      <c r="P345" s="28">
        <f>(Fuentes!P1756/Fuentes!P$47)*100000</f>
        <v>1.8034594170709952</v>
      </c>
      <c r="Q345" s="28">
        <f>(Fuentes!Q1756/Fuentes!Q$47)*100000</f>
        <v>2.6397833366400461</v>
      </c>
      <c r="R345" s="28">
        <f>(Fuentes!R1756/Fuentes!R$47)*100000</f>
        <v>2.959298062777266</v>
      </c>
      <c r="S345" s="28">
        <f>(Fuentes!S1756/Fuentes!S$47)*100000</f>
        <v>2.6173877979016731</v>
      </c>
      <c r="T345" s="28">
        <f>(Fuentes!T1756/Fuentes!T$47)*100000</f>
        <v>1.7382583177176425</v>
      </c>
      <c r="U345" s="28">
        <f>(Fuentes!U1756/Fuentes!U$47)*100000</f>
        <v>1.0392947345931052</v>
      </c>
      <c r="V345" s="28">
        <f>(Fuentes!V1756/Fuentes!V$47)*100000</f>
        <v>1.4630291544146212</v>
      </c>
    </row>
    <row r="346" spans="1:22" s="14" customFormat="1" ht="12.75" x14ac:dyDescent="0.2">
      <c r="A346" s="28" t="s">
        <v>3198</v>
      </c>
      <c r="B346" s="29" t="s">
        <v>3332</v>
      </c>
      <c r="C346" s="29">
        <f>(Fuentes!C1757/Fuentes!C$47)*100000</f>
        <v>7.8247079485862461</v>
      </c>
      <c r="D346" s="30">
        <f>(Fuentes!D1757/Fuentes!D$47)*100000</f>
        <v>8.1449023661447271</v>
      </c>
      <c r="E346" s="35">
        <f>(Fuentes!E1757/Fuentes!E$47)*100000</f>
        <v>7.1101281787058621</v>
      </c>
      <c r="F346" s="28">
        <f>(Fuentes!F1757/Fuentes!F$47)*100000</f>
        <v>6.9254026460911247</v>
      </c>
      <c r="G346" s="28">
        <f>(Fuentes!G1757/Fuentes!G$47)*100000</f>
        <v>8.2373453781627983</v>
      </c>
      <c r="H346" s="28">
        <f>(Fuentes!H1757/Fuentes!H$47)*100000</f>
        <v>7.0932955783384513</v>
      </c>
      <c r="I346" s="28">
        <f>(Fuentes!I1757/Fuentes!I$47)*100000</f>
        <v>5.8663281179884521</v>
      </c>
      <c r="J346" s="28">
        <f>(Fuentes!J1757/Fuentes!J$47)*100000</f>
        <v>5.0686689444957711</v>
      </c>
      <c r="K346" s="28">
        <f>(Fuentes!K1757/Fuentes!K$47)*100000</f>
        <v>5.7219539110236166</v>
      </c>
      <c r="L346" s="28">
        <f>(Fuentes!L1757/Fuentes!L$47)*100000</f>
        <v>5.5712961452671843</v>
      </c>
      <c r="M346" s="28">
        <f>(Fuentes!M1757/Fuentes!M$47)*100000</f>
        <v>5.07290201314808</v>
      </c>
      <c r="N346" s="36">
        <f>(Fuentes!N1757/Fuentes!N$47)*100000</f>
        <v>4.4423665008981637</v>
      </c>
      <c r="O346" s="28">
        <f>(Fuentes!O1757/Fuentes!O$47)*100000</f>
        <v>5.2015593501145956</v>
      </c>
      <c r="P346" s="28">
        <f>(Fuentes!P1757/Fuentes!P$47)*100000</f>
        <v>4.2858682617451889</v>
      </c>
      <c r="Q346" s="28">
        <f>(Fuentes!Q1757/Fuentes!Q$47)*100000</f>
        <v>4.6300961698210328</v>
      </c>
      <c r="R346" s="28">
        <f>(Fuentes!R1757/Fuentes!R$47)*100000</f>
        <v>3.9940176651469392</v>
      </c>
      <c r="S346" s="28">
        <f>(Fuentes!S1757/Fuentes!S$47)*100000</f>
        <v>3.8647366703391888</v>
      </c>
      <c r="T346" s="28">
        <f>(Fuentes!T1757/Fuentes!T$47)*100000</f>
        <v>3.4563043294153126</v>
      </c>
      <c r="U346" s="28">
        <f>(Fuentes!U1757/Fuentes!U$47)*100000</f>
        <v>3.3377350130201644</v>
      </c>
      <c r="V346" s="28">
        <f>(Fuentes!V1757/Fuentes!V$47)*100000</f>
        <v>3.9739035140180925</v>
      </c>
    </row>
    <row r="347" spans="1:22" s="14" customFormat="1" ht="12.75" x14ac:dyDescent="0.2">
      <c r="A347" s="28" t="s">
        <v>3198</v>
      </c>
      <c r="B347" s="29" t="s">
        <v>3333</v>
      </c>
      <c r="C347" s="29">
        <f>(Fuentes!C1758/Fuentes!C$47)*100000</f>
        <v>1.6010953558163274</v>
      </c>
      <c r="D347" s="30">
        <f>(Fuentes!D1758/Fuentes!D$47)*100000</f>
        <v>2.4029991452911461</v>
      </c>
      <c r="E347" s="35">
        <f>(Fuentes!E1758/Fuentes!E$47)*100000</f>
        <v>3.5302035013154982</v>
      </c>
      <c r="F347" s="28">
        <f>(Fuentes!F1758/Fuentes!F$47)*100000</f>
        <v>3.7930650535128061</v>
      </c>
      <c r="G347" s="28">
        <f>(Fuentes!G1758/Fuentes!G$47)*100000</f>
        <v>3.8778146370883344</v>
      </c>
      <c r="H347" s="36">
        <f>(Fuentes!H1758/Fuentes!H$47)*100000</f>
        <v>2.8230841933855375</v>
      </c>
      <c r="I347" s="28">
        <f>(Fuentes!I1758/Fuentes!I$47)*100000</f>
        <v>3.2486836988063539</v>
      </c>
      <c r="J347" s="28">
        <f>(Fuentes!J1758/Fuentes!J$47)*100000</f>
        <v>3.8245411126649906</v>
      </c>
      <c r="K347" s="28">
        <f>(Fuentes!K1758/Fuentes!K$47)*100000</f>
        <v>8.5829308665354258</v>
      </c>
      <c r="L347" s="28">
        <f>(Fuentes!L1758/Fuentes!L$47)*100000</f>
        <v>5.9069163949820744</v>
      </c>
      <c r="M347" s="28">
        <f>(Fuentes!M1758/Fuentes!M$47)*100000</f>
        <v>6.021314128649677</v>
      </c>
      <c r="N347" s="28">
        <f>(Fuentes!N1758/Fuentes!N$47)*100000</f>
        <v>5.2916424495992835</v>
      </c>
      <c r="O347" s="28">
        <f>(Fuentes!O1758/Fuentes!O$47)*100000</f>
        <v>8.8125592295329938</v>
      </c>
      <c r="P347" s="28">
        <f>(Fuentes!P1758/Fuentes!P$47)*100000</f>
        <v>8.2746961489139785</v>
      </c>
      <c r="Q347" s="28">
        <f>(Fuentes!Q1758/Fuentes!Q$47)*100000</f>
        <v>7.3955834748725104</v>
      </c>
      <c r="R347" s="28">
        <f>(Fuentes!R1758/Fuentes!R$47)*100000</f>
        <v>9.3124764213270605</v>
      </c>
      <c r="S347" s="28">
        <f>(Fuentes!S1758/Fuentes!S$47)*100000</f>
        <v>15.377153312672327</v>
      </c>
      <c r="T347" s="28">
        <f>(Fuentes!T1758/Fuentes!T$47)*100000</f>
        <v>12.753965098602702</v>
      </c>
      <c r="U347" s="28">
        <f>(Fuentes!U1758/Fuentes!U$47)*100000</f>
        <v>14.410221223877477</v>
      </c>
      <c r="V347" s="28">
        <f>(Fuentes!V1758/Fuentes!V$47)*100000</f>
        <v>19.315938971122772</v>
      </c>
    </row>
    <row r="348" spans="1:22" s="14" customFormat="1" ht="12.75" x14ac:dyDescent="0.2">
      <c r="A348" s="28" t="s">
        <v>3198</v>
      </c>
      <c r="B348" s="29" t="s">
        <v>3334</v>
      </c>
      <c r="C348" s="29">
        <f>(Fuentes!C1759/Fuentes!C$47)*100000</f>
        <v>0</v>
      </c>
      <c r="D348" s="30">
        <f>(Fuentes!D1759/Fuentes!D$47)*100000</f>
        <v>7.5884183535509867E-2</v>
      </c>
      <c r="E348" s="35">
        <f>(Fuentes!E1759/Fuentes!E$47)*100000</f>
        <v>2.4860588037433084E-2</v>
      </c>
      <c r="F348" s="28">
        <f>(Fuentes!F1759/Fuentes!F$47)*100000</f>
        <v>0.12235693721009053</v>
      </c>
      <c r="G348" s="28">
        <f>(Fuentes!G1759/Fuentes!G$47)*100000</f>
        <v>0</v>
      </c>
      <c r="H348" s="28">
        <f>(Fuentes!H1759/Fuentes!H$47)*100000</f>
        <v>4.7446793166143482E-2</v>
      </c>
      <c r="I348" s="28">
        <f>(Fuentes!I1759/Fuentes!I$47)*100000</f>
        <v>7.0115475513806202E-2</v>
      </c>
      <c r="J348" s="28">
        <f>(Fuentes!J1759/Fuentes!J$47)*100000</f>
        <v>4.6078808586325189E-2</v>
      </c>
      <c r="K348" s="28">
        <f>(Fuentes!K1759/Fuentes!K$47)*100000</f>
        <v>0.18164933050868626</v>
      </c>
      <c r="L348" s="28">
        <f>(Fuentes!L1759/Fuentes!L$47)*100000</f>
        <v>4.4749366628652081E-2</v>
      </c>
      <c r="M348" s="28">
        <f>(Fuentes!M1759/Fuentes!M$47)*100000</f>
        <v>2.2056095709339477E-2</v>
      </c>
      <c r="N348" s="36">
        <f>(Fuentes!N1759/Fuentes!N$47)*100000</f>
        <v>4.3552612753903562E-2</v>
      </c>
      <c r="O348" s="28">
        <f>(Fuentes!O1759/Fuentes!O$47)*100000</f>
        <v>6.4482140703899946E-2</v>
      </c>
      <c r="P348" s="28">
        <f>(Fuentes!P1759/Fuentes!P$47)*100000</f>
        <v>4.2434339225199888E-2</v>
      </c>
      <c r="Q348" s="28">
        <f>(Fuentes!Q1759/Fuentes!Q$47)*100000</f>
        <v>4.1901322803810259E-2</v>
      </c>
      <c r="R348" s="28">
        <f>(Fuentes!R1759/Fuentes!R$47)*100000</f>
        <v>0</v>
      </c>
      <c r="S348" s="28">
        <f>(Fuentes!S1759/Fuentes!S$47)*100000</f>
        <v>2.0448342171106821E-2</v>
      </c>
      <c r="T348" s="28">
        <f>(Fuentes!T1759/Fuentes!T$47)*100000</f>
        <v>0</v>
      </c>
      <c r="U348" s="28">
        <f>(Fuentes!U1759/Fuentes!U$47)*100000</f>
        <v>0</v>
      </c>
      <c r="V348" s="28">
        <f>(Fuentes!V1759/Fuentes!V$47)*100000</f>
        <v>1.9770664248846232E-2</v>
      </c>
    </row>
    <row r="349" spans="1:22" s="14" customFormat="1" ht="12.75" x14ac:dyDescent="0.2">
      <c r="A349" s="28" t="s">
        <v>3198</v>
      </c>
      <c r="B349" s="29" t="s">
        <v>3335</v>
      </c>
      <c r="C349" s="29">
        <f>(Fuentes!C1760/Fuentes!C$47)*100000</f>
        <v>3.8994419149720234</v>
      </c>
      <c r="D349" s="30">
        <f>(Fuentes!D1760/Fuentes!D$47)*100000</f>
        <v>4.8059982905822922</v>
      </c>
      <c r="E349" s="35">
        <f>(Fuentes!E1760/Fuentes!E$47)*100000</f>
        <v>5.6184928964598768</v>
      </c>
      <c r="F349" s="28">
        <f>(Fuentes!F1760/Fuentes!F$47)*100000</f>
        <v>4.6006208390994043</v>
      </c>
      <c r="G349" s="28">
        <f>(Fuentes!G1760/Fuentes!G$47)*100000</f>
        <v>4.8171610398612854</v>
      </c>
      <c r="H349" s="36">
        <f>(Fuentes!H1760/Fuentes!H$47)*100000</f>
        <v>5.314040834608071</v>
      </c>
      <c r="I349" s="28">
        <f>(Fuentes!I1760/Fuentes!I$47)*100000</f>
        <v>3.7394920274029975</v>
      </c>
      <c r="J349" s="28">
        <f>(Fuentes!J1760/Fuentes!J$47)*100000</f>
        <v>4.4235656242872183</v>
      </c>
      <c r="K349" s="28">
        <f>(Fuentes!K1760/Fuentes!K$47)*100000</f>
        <v>4.2460531006405411</v>
      </c>
      <c r="L349" s="28">
        <f>(Fuentes!L1760/Fuentes!L$47)*100000</f>
        <v>3.4680759137205359</v>
      </c>
      <c r="M349" s="28">
        <f>(Fuentes!M1760/Fuentes!M$47)*100000</f>
        <v>3.1099094950168662</v>
      </c>
      <c r="N349" s="28">
        <f>(Fuentes!N1760/Fuentes!N$47)*100000</f>
        <v>3.7455246968357065</v>
      </c>
      <c r="O349" s="28">
        <f>(Fuentes!O1760/Fuentes!O$47)*100000</f>
        <v>3.8474343953326966</v>
      </c>
      <c r="P349" s="28">
        <f>(Fuentes!P1760/Fuentes!P$47)*100000</f>
        <v>2.7157977104127928</v>
      </c>
      <c r="Q349" s="28">
        <f>(Fuentes!Q1760/Fuentes!Q$47)*100000</f>
        <v>2.5559806910324254</v>
      </c>
      <c r="R349" s="28">
        <f>(Fuentes!R1760/Fuentes!R$47)*100000</f>
        <v>2.6488821820663642</v>
      </c>
      <c r="S349" s="28">
        <f>(Fuentes!S1760/Fuentes!S$47)*100000</f>
        <v>2.4538010605328187</v>
      </c>
      <c r="T349" s="28">
        <f>(Fuentes!T1760/Fuentes!T$47)*100000</f>
        <v>3.3552427993154494</v>
      </c>
      <c r="U349" s="28">
        <f>(Fuentes!U1760/Fuentes!U$47)*100000</f>
        <v>3.5176129478535869</v>
      </c>
      <c r="V349" s="28">
        <f>(Fuentes!V1760/Fuentes!V$47)*100000</f>
        <v>3.8157382000273232</v>
      </c>
    </row>
    <row r="350" spans="1:22" s="14" customFormat="1" ht="12.75" x14ac:dyDescent="0.2">
      <c r="A350" s="28" t="s">
        <v>3198</v>
      </c>
      <c r="B350" s="29" t="s">
        <v>3336</v>
      </c>
      <c r="C350" s="29">
        <f>(Fuentes!C1761/Fuentes!C$47)*100000</f>
        <v>0.12912059321099417</v>
      </c>
      <c r="D350" s="30">
        <f>(Fuentes!D1761/Fuentes!D$47)*100000</f>
        <v>2.5294727845169961E-2</v>
      </c>
      <c r="E350" s="35">
        <f>(Fuentes!E1761/Fuentes!E$47)*100000</f>
        <v>0.1491635282245985</v>
      </c>
      <c r="F350" s="28">
        <f>(Fuentes!F1761/Fuentes!F$47)*100000</f>
        <v>0.12235693721009053</v>
      </c>
      <c r="G350" s="28">
        <f>(Fuentes!G1761/Fuentes!G$47)*100000</f>
        <v>4.8171610398612855E-2</v>
      </c>
      <c r="H350" s="28">
        <f>(Fuentes!H1761/Fuentes!H$47)*100000</f>
        <v>9.4893586332286964E-2</v>
      </c>
      <c r="I350" s="28">
        <f>(Fuentes!I1761/Fuentes!I$47)*100000</f>
        <v>0.11685912585634367</v>
      </c>
      <c r="J350" s="28">
        <f>(Fuentes!J1761/Fuentes!J$47)*100000</f>
        <v>0</v>
      </c>
      <c r="K350" s="28">
        <f>(Fuentes!K1761/Fuentes!K$47)*100000</f>
        <v>0.36329866101737252</v>
      </c>
      <c r="L350" s="28">
        <f>(Fuentes!L1761/Fuentes!L$47)*100000</f>
        <v>0.17899746651460832</v>
      </c>
      <c r="M350" s="28">
        <f>(Fuentes!M1761/Fuentes!M$47)*100000</f>
        <v>6.6168287128018421E-2</v>
      </c>
      <c r="N350" s="36">
        <f>(Fuentes!N1761/Fuentes!N$47)*100000</f>
        <v>0.13065783826171071</v>
      </c>
      <c r="O350" s="28">
        <f>(Fuentes!O1761/Fuentes!O$47)*100000</f>
        <v>6.4482140703899946E-2</v>
      </c>
      <c r="P350" s="28">
        <f>(Fuentes!P1761/Fuentes!P$47)*100000</f>
        <v>0.1485201872881996</v>
      </c>
      <c r="Q350" s="28">
        <f>(Fuentes!Q1761/Fuentes!Q$47)*100000</f>
        <v>0.14665462981333588</v>
      </c>
      <c r="R350" s="28">
        <f>(Fuentes!R1761/Fuentes!R$47)*100000</f>
        <v>4.138878409478694E-2</v>
      </c>
      <c r="S350" s="28">
        <f>(Fuentes!S1761/Fuentes!S$47)*100000</f>
        <v>4.0896684342213642E-2</v>
      </c>
      <c r="T350" s="28">
        <f>(Fuentes!T1761/Fuentes!T$47)*100000</f>
        <v>4.0424612039945178E-2</v>
      </c>
      <c r="U350" s="28">
        <f>(Fuentes!U1761/Fuentes!U$47)*100000</f>
        <v>0.11991862322228136</v>
      </c>
      <c r="V350" s="28">
        <f>(Fuentes!V1761/Fuentes!V$47)*100000</f>
        <v>0.11862398549307739</v>
      </c>
    </row>
    <row r="351" spans="1:22" s="14" customFormat="1" ht="12.75" x14ac:dyDescent="0.2">
      <c r="A351" s="28" t="s">
        <v>3198</v>
      </c>
      <c r="B351" s="29" t="s">
        <v>3337</v>
      </c>
      <c r="C351" s="29">
        <f>(Fuentes!C1762/Fuentes!C$47)*100000</f>
        <v>0</v>
      </c>
      <c r="D351" s="30">
        <f>(Fuentes!D1762/Fuentes!D$47)*100000</f>
        <v>0</v>
      </c>
      <c r="E351" s="35">
        <f>(Fuentes!E1762/Fuentes!E$47)*100000</f>
        <v>0</v>
      </c>
      <c r="F351" s="28">
        <f>(Fuentes!F1762/Fuentes!F$47)*100000</f>
        <v>0.56284191116641646</v>
      </c>
      <c r="G351" s="28">
        <f>(Fuentes!G1762/Fuentes!G$47)*100000</f>
        <v>1.4933199223569984</v>
      </c>
      <c r="H351" s="36">
        <f>(Fuentes!H1762/Fuentes!H$47)*100000</f>
        <v>4.2702113849529137</v>
      </c>
      <c r="I351" s="28">
        <f>(Fuentes!I1762/Fuentes!I$47)*100000</f>
        <v>8.2736261106291327</v>
      </c>
      <c r="J351" s="28">
        <f>(Fuentes!J1762/Fuentes!J$47)*100000</f>
        <v>15.482479685005265</v>
      </c>
      <c r="K351" s="28">
        <f>(Fuentes!K1762/Fuentes!K$47)*100000</f>
        <v>8.4239877023403249</v>
      </c>
      <c r="L351" s="28">
        <f>(Fuentes!L1762/Fuentes!L$47)*100000</f>
        <v>10.516101157733239</v>
      </c>
      <c r="M351" s="28">
        <f>(Fuentes!M1762/Fuentes!M$47)*100000</f>
        <v>5.1170142045667584</v>
      </c>
      <c r="N351" s="28">
        <f>(Fuentes!N1762/Fuentes!N$47)*100000</f>
        <v>9.8211141760052545</v>
      </c>
      <c r="O351" s="28">
        <f>(Fuentes!O1762/Fuentes!O$47)*100000</f>
        <v>5.1155831625093962</v>
      </c>
      <c r="P351" s="28">
        <f>(Fuentes!P1762/Fuentes!P$47)*100000</f>
        <v>4.1161309048443888</v>
      </c>
      <c r="Q351" s="28">
        <f>(Fuentes!Q1762/Fuentes!Q$47)*100000</f>
        <v>21.683934550971806</v>
      </c>
      <c r="R351" s="28">
        <f>(Fuentes!R1762/Fuentes!R$47)*100000</f>
        <v>21.604945297478782</v>
      </c>
      <c r="S351" s="28">
        <f>(Fuentes!S1762/Fuentes!S$47)*100000</f>
        <v>42.96196690149543</v>
      </c>
      <c r="T351" s="28">
        <f>(Fuentes!T1762/Fuentes!T$47)*100000</f>
        <v>42.223507275722739</v>
      </c>
      <c r="U351" s="28">
        <f>(Fuentes!U1762/Fuentes!U$47)*100000</f>
        <v>10.732716778394183</v>
      </c>
      <c r="V351" s="28">
        <f>(Fuentes!V1762/Fuentes!V$47)*100000</f>
        <v>33.728753208531678</v>
      </c>
    </row>
    <row r="352" spans="1:22" s="14" customFormat="1" ht="12.75" x14ac:dyDescent="0.2">
      <c r="A352" s="28" t="s">
        <v>3198</v>
      </c>
      <c r="B352" s="29" t="s">
        <v>3338</v>
      </c>
      <c r="C352" s="29">
        <f>(Fuentes!C1763/Fuentes!C$47)*100000</f>
        <v>266.01424613329016</v>
      </c>
      <c r="D352" s="30">
        <f>(Fuentes!D1763/Fuentes!D$47)*100000</f>
        <v>288.43578161847307</v>
      </c>
      <c r="E352" s="35">
        <f>(Fuentes!E1763/Fuentes!E$47)*100000</f>
        <v>277.29499896952865</v>
      </c>
      <c r="F352" s="28">
        <f>(Fuentes!F1763/Fuentes!F$47)*100000</f>
        <v>262.57798725285431</v>
      </c>
      <c r="G352" s="28">
        <f>(Fuentes!G1763/Fuentes!G$47)*100000</f>
        <v>250.92591856637432</v>
      </c>
      <c r="H352" s="28">
        <f>(Fuentes!H1763/Fuentes!H$47)*100000</f>
        <v>245.20502708262953</v>
      </c>
      <c r="I352" s="28">
        <f>(Fuentes!I1763/Fuentes!I$47)*100000</f>
        <v>240.47270918718402</v>
      </c>
      <c r="J352" s="28">
        <f>(Fuentes!J1763/Fuentes!J$47)*100000</f>
        <v>279.60621050182124</v>
      </c>
      <c r="K352" s="28">
        <f>(Fuentes!K1763/Fuentes!K$47)*100000</f>
        <v>309.71210851731001</v>
      </c>
      <c r="L352" s="28">
        <f>(Fuentes!L1763/Fuentes!L$47)*100000</f>
        <v>389.74460865224529</v>
      </c>
      <c r="M352" s="28">
        <f>(Fuentes!M1763/Fuentes!M$47)*100000</f>
        <v>345.31023442541886</v>
      </c>
      <c r="N352" s="36">
        <f>(Fuentes!N1763/Fuentes!N$47)*100000</f>
        <v>320.52545356235328</v>
      </c>
      <c r="O352" s="28">
        <f>(Fuentes!O1763/Fuentes!O$47)*100000</f>
        <v>589.86112911237547</v>
      </c>
      <c r="P352" s="28">
        <f>(Fuentes!P1763/Fuentes!P$47)*100000</f>
        <v>612.5184695461478</v>
      </c>
      <c r="Q352" s="28">
        <f>(Fuentes!Q1763/Fuentes!Q$47)*100000</f>
        <v>676.20354740788991</v>
      </c>
      <c r="R352" s="28">
        <f>(Fuentes!R1763/Fuentes!R$47)*100000</f>
        <v>606.88374118186084</v>
      </c>
      <c r="S352" s="28">
        <f>(Fuentes!S1763/Fuentes!S$47)*100000</f>
        <v>546.52284120717195</v>
      </c>
      <c r="T352" s="28">
        <f>(Fuentes!T1763/Fuentes!T$47)*100000</f>
        <v>529.58263002930175</v>
      </c>
      <c r="U352" s="28">
        <f>(Fuentes!U1763/Fuentes!U$47)*100000</f>
        <v>536.1961373012274</v>
      </c>
      <c r="V352" s="28">
        <f>(Fuentes!V1763/Fuentes!V$47)*100000</f>
        <v>548.39868493449683</v>
      </c>
    </row>
    <row r="353" spans="1:22" s="14" customFormat="1" ht="12.75" x14ac:dyDescent="0.2">
      <c r="A353" s="28" t="s">
        <v>3198</v>
      </c>
      <c r="B353" s="29" t="s">
        <v>3339</v>
      </c>
      <c r="C353" s="29">
        <f>(Fuentes!C1764/Fuentes!C$47)*100000</f>
        <v>2.5824118642198829E-2</v>
      </c>
      <c r="D353" s="30">
        <f>(Fuentes!D1764/Fuentes!D$47)*100000</f>
        <v>0</v>
      </c>
      <c r="E353" s="35">
        <f>(Fuentes!E1764/Fuentes!E$47)*100000</f>
        <v>2.4860588037433084E-2</v>
      </c>
      <c r="F353" s="28">
        <f>(Fuentes!F1764/Fuentes!F$47)*100000</f>
        <v>0</v>
      </c>
      <c r="G353" s="28">
        <f>(Fuentes!G1764/Fuentes!G$47)*100000</f>
        <v>4.8171610398612855E-2</v>
      </c>
      <c r="H353" s="36">
        <f>(Fuentes!H1764/Fuentes!H$47)*100000</f>
        <v>0</v>
      </c>
      <c r="I353" s="28">
        <f>(Fuentes!I1764/Fuentes!I$47)*100000</f>
        <v>4.6743650342537468E-2</v>
      </c>
      <c r="J353" s="28">
        <f>(Fuentes!J1764/Fuentes!J$47)*100000</f>
        <v>0.13823642575897557</v>
      </c>
      <c r="K353" s="28">
        <f>(Fuentes!K1764/Fuentes!K$47)*100000</f>
        <v>2.2706166313585782E-2</v>
      </c>
      <c r="L353" s="28">
        <f>(Fuentes!L1764/Fuentes!L$47)*100000</f>
        <v>1.141108849030628</v>
      </c>
      <c r="M353" s="28">
        <f>(Fuentes!M1764/Fuentes!M$47)*100000</f>
        <v>0</v>
      </c>
      <c r="N353" s="28">
        <f>(Fuentes!N1764/Fuentes!N$47)*100000</f>
        <v>0</v>
      </c>
      <c r="O353" s="28">
        <f>(Fuentes!O1764/Fuentes!O$47)*100000</f>
        <v>0</v>
      </c>
      <c r="P353" s="28">
        <f>(Fuentes!P1764/Fuentes!P$47)*100000</f>
        <v>0</v>
      </c>
      <c r="Q353" s="28">
        <f>(Fuentes!Q1764/Fuentes!Q$47)*100000</f>
        <v>0</v>
      </c>
      <c r="R353" s="28">
        <f>(Fuentes!R1764/Fuentes!R$47)*100000</f>
        <v>0</v>
      </c>
      <c r="S353" s="28">
        <f>(Fuentes!S1764/Fuentes!S$47)*100000</f>
        <v>0</v>
      </c>
      <c r="T353" s="28">
        <f>(Fuentes!T1764/Fuentes!T$47)*100000</f>
        <v>0</v>
      </c>
      <c r="U353" s="28">
        <f>(Fuentes!U1764/Fuentes!U$47)*100000</f>
        <v>0</v>
      </c>
      <c r="V353" s="28">
        <f>(Fuentes!V1764/Fuentes!V$47)*100000</f>
        <v>0</v>
      </c>
    </row>
    <row r="354" spans="1:22" s="14" customFormat="1" ht="12.75" x14ac:dyDescent="0.2">
      <c r="A354" s="28" t="s">
        <v>3198</v>
      </c>
      <c r="B354" s="29" t="s">
        <v>3340</v>
      </c>
      <c r="C354" s="29">
        <f>(Fuentes!C1765/Fuentes!C$47)*100000</f>
        <v>1.3945024066787368</v>
      </c>
      <c r="D354" s="30">
        <f>(Fuentes!D1765/Fuentes!D$47)*100000</f>
        <v>4.401282645059573</v>
      </c>
      <c r="E354" s="35">
        <f>(Fuentes!E1765/Fuentes!E$47)*100000</f>
        <v>2.6849435080427728</v>
      </c>
      <c r="F354" s="28">
        <f>(Fuentes!F1765/Fuentes!F$47)*100000</f>
        <v>9.8374977516912789</v>
      </c>
      <c r="G354" s="28">
        <f>(Fuentes!G1765/Fuentes!G$47)*100000</f>
        <v>1.6137489483535306</v>
      </c>
      <c r="H354" s="28">
        <f>(Fuentes!H1765/Fuentes!H$47)*100000</f>
        <v>1.8741483300626678</v>
      </c>
      <c r="I354" s="28">
        <f>(Fuentes!I1765/Fuentes!I$47)*100000</f>
        <v>1.939861489215305</v>
      </c>
      <c r="J354" s="28">
        <f>(Fuentes!J1765/Fuentes!J$47)*100000</f>
        <v>1.474521874762406</v>
      </c>
      <c r="K354" s="28">
        <f>(Fuentes!K1765/Fuentes!K$47)*100000</f>
        <v>1.7710809724596908</v>
      </c>
      <c r="L354" s="28">
        <f>(Fuentes!L1765/Fuentes!L$47)*100000</f>
        <v>2.8192100976050809</v>
      </c>
      <c r="M354" s="28">
        <f>(Fuentes!M1765/Fuentes!M$47)*100000</f>
        <v>2.0071047095498922</v>
      </c>
      <c r="N354" s="36">
        <f>(Fuentes!N1765/Fuentes!N$47)*100000</f>
        <v>2.591380458857262</v>
      </c>
      <c r="O354" s="28">
        <f>(Fuentes!O1765/Fuentes!O$47)*100000</f>
        <v>2.0204404087221981</v>
      </c>
      <c r="P354" s="28">
        <f>(Fuentes!P1765/Fuentes!P$47)*100000</f>
        <v>1.2942473463685966</v>
      </c>
      <c r="Q354" s="28">
        <f>(Fuentes!Q1765/Fuentes!Q$47)*100000</f>
        <v>2.8492899506590974</v>
      </c>
      <c r="R354" s="28">
        <f>(Fuentes!R1765/Fuentes!R$47)*100000</f>
        <v>2.421243869545036</v>
      </c>
      <c r="S354" s="28">
        <f>(Fuentes!S1765/Fuentes!S$47)*100000</f>
        <v>0.73614031815984549</v>
      </c>
      <c r="T354" s="28">
        <f>(Fuentes!T1765/Fuentes!T$47)*100000</f>
        <v>6.9126086588306253</v>
      </c>
      <c r="U354" s="28">
        <f>(Fuentes!U1765/Fuentes!U$47)*100000</f>
        <v>5.8360396634843594</v>
      </c>
      <c r="V354" s="28">
        <f>(Fuentes!V1765/Fuentes!V$47)*100000</f>
        <v>5.7334926321654081</v>
      </c>
    </row>
    <row r="355" spans="1:22" s="14" customFormat="1" ht="12.75" x14ac:dyDescent="0.2">
      <c r="A355" s="28" t="s">
        <v>3198</v>
      </c>
      <c r="B355" s="29" t="s">
        <v>3341</v>
      </c>
      <c r="C355" s="29">
        <f>(Fuentes!C1766/Fuentes!C$47)*100000</f>
        <v>0</v>
      </c>
      <c r="D355" s="30">
        <f>(Fuentes!D1766/Fuentes!D$47)*100000</f>
        <v>0</v>
      </c>
      <c r="E355" s="35">
        <f>(Fuentes!E1766/Fuentes!E$47)*100000</f>
        <v>0</v>
      </c>
      <c r="F355" s="28">
        <f>(Fuentes!F1766/Fuentes!F$47)*100000</f>
        <v>0</v>
      </c>
      <c r="G355" s="28">
        <f>(Fuentes!G1766/Fuentes!G$47)*100000</f>
        <v>0</v>
      </c>
      <c r="H355" s="36">
        <f>(Fuentes!H1766/Fuentes!H$47)*100000</f>
        <v>0</v>
      </c>
      <c r="I355" s="28">
        <f>(Fuentes!I1766/Fuentes!I$47)*100000</f>
        <v>0</v>
      </c>
      <c r="J355" s="28">
        <f>(Fuentes!J1766/Fuentes!J$47)*100000</f>
        <v>0</v>
      </c>
      <c r="K355" s="28">
        <f>(Fuentes!K1766/Fuentes!K$47)*100000</f>
        <v>0</v>
      </c>
      <c r="L355" s="28">
        <f>(Fuentes!L1766/Fuentes!L$47)*100000</f>
        <v>0</v>
      </c>
      <c r="M355" s="28">
        <f>(Fuentes!M1766/Fuentes!M$47)*100000</f>
        <v>100.42140376462264</v>
      </c>
      <c r="N355" s="28">
        <f>(Fuentes!N1766/Fuentes!N$47)*100000</f>
        <v>125.54040626312702</v>
      </c>
      <c r="O355" s="28">
        <f>(Fuentes!O1766/Fuentes!O$47)*100000</f>
        <v>60.269307511245145</v>
      </c>
      <c r="P355" s="28">
        <f>(Fuentes!P1766/Fuentes!P$47)*100000</f>
        <v>82.789395828364988</v>
      </c>
      <c r="Q355" s="28">
        <f>(Fuentes!Q1766/Fuentes!Q$47)*100000</f>
        <v>75.422381046858447</v>
      </c>
      <c r="R355" s="28">
        <f>(Fuentes!R1766/Fuentes!R$47)*100000</f>
        <v>90.186160542540733</v>
      </c>
      <c r="S355" s="28">
        <f>(Fuentes!S1766/Fuentes!S$47)*100000</f>
        <v>64.310036128130946</v>
      </c>
      <c r="T355" s="28">
        <f>(Fuentes!T1766/Fuentes!T$47)*100000</f>
        <v>65.022988466251817</v>
      </c>
      <c r="U355" s="28">
        <f>(Fuentes!U1766/Fuentes!U$47)*100000</f>
        <v>75.428814006814974</v>
      </c>
      <c r="V355" s="28">
        <f>(Fuentes!V1766/Fuentes!V$47)*100000</f>
        <v>67.121405124832961</v>
      </c>
    </row>
    <row r="356" spans="1:22" s="14" customFormat="1" ht="12.75" x14ac:dyDescent="0.2">
      <c r="A356" s="28" t="s">
        <v>3198</v>
      </c>
      <c r="B356" s="29" t="s">
        <v>3342</v>
      </c>
      <c r="C356" s="29">
        <f>(Fuentes!C1767/Fuentes!C$47)*100000</f>
        <v>0</v>
      </c>
      <c r="D356" s="30">
        <f>(Fuentes!D1767/Fuentes!D$47)*100000</f>
        <v>0</v>
      </c>
      <c r="E356" s="35">
        <f>(Fuentes!E1767/Fuentes!E$47)*100000</f>
        <v>0</v>
      </c>
      <c r="F356" s="28">
        <f>(Fuentes!F1767/Fuentes!F$47)*100000</f>
        <v>0</v>
      </c>
      <c r="G356" s="28">
        <f>(Fuentes!G1767/Fuentes!G$47)*100000</f>
        <v>0</v>
      </c>
      <c r="H356" s="28">
        <f>(Fuentes!H1767/Fuentes!H$47)*100000</f>
        <v>0</v>
      </c>
      <c r="I356" s="28">
        <f>(Fuentes!I1767/Fuentes!I$47)*100000</f>
        <v>0</v>
      </c>
      <c r="J356" s="28">
        <f>(Fuentes!J1767/Fuentes!J$47)*100000</f>
        <v>0</v>
      </c>
      <c r="K356" s="28">
        <f>(Fuentes!K1767/Fuentes!K$47)*100000</f>
        <v>0</v>
      </c>
      <c r="L356" s="28">
        <f>(Fuentes!L1767/Fuentes!L$47)*100000</f>
        <v>0</v>
      </c>
      <c r="M356" s="28">
        <f>(Fuentes!M1767/Fuentes!M$47)*100000</f>
        <v>2.2056095709339477E-2</v>
      </c>
      <c r="N356" s="36">
        <f>(Fuentes!N1767/Fuentes!N$47)*100000</f>
        <v>0</v>
      </c>
      <c r="O356" s="28">
        <f>(Fuentes!O1767/Fuentes!O$47)*100000</f>
        <v>2.1494046901299982E-2</v>
      </c>
      <c r="P356" s="28">
        <f>(Fuentes!P1767/Fuentes!P$47)*100000</f>
        <v>2.1217169612599944E-2</v>
      </c>
      <c r="Q356" s="28">
        <f>(Fuentes!Q1767/Fuentes!Q$47)*100000</f>
        <v>2.095066140190513E-2</v>
      </c>
      <c r="R356" s="28">
        <f>(Fuentes!R1767/Fuentes!R$47)*100000</f>
        <v>0.18624952842654122</v>
      </c>
      <c r="S356" s="28">
        <f>(Fuentes!S1767/Fuentes!S$47)*100000</f>
        <v>2.0448342171106821E-2</v>
      </c>
      <c r="T356" s="28">
        <f>(Fuentes!T1767/Fuentes!T$47)*100000</f>
        <v>0</v>
      </c>
      <c r="U356" s="28">
        <f>(Fuentes!U1767/Fuentes!U$47)*100000</f>
        <v>0</v>
      </c>
      <c r="V356" s="28">
        <f>(Fuentes!V1767/Fuentes!V$47)*100000</f>
        <v>0</v>
      </c>
    </row>
    <row r="357" spans="1:22" s="14" customFormat="1" ht="12.75" x14ac:dyDescent="0.2">
      <c r="A357" s="28" t="s">
        <v>3198</v>
      </c>
      <c r="B357" s="29" t="s">
        <v>3343</v>
      </c>
      <c r="C357" s="29">
        <f>(Fuentes!C1768/Fuentes!C$47)*100000</f>
        <v>0</v>
      </c>
      <c r="D357" s="30">
        <f>(Fuentes!D1768/Fuentes!D$47)*100000</f>
        <v>0</v>
      </c>
      <c r="E357" s="35">
        <f>(Fuentes!E1768/Fuentes!E$47)*100000</f>
        <v>0</v>
      </c>
      <c r="F357" s="28">
        <f>(Fuentes!F1768/Fuentes!F$47)*100000</f>
        <v>0</v>
      </c>
      <c r="G357" s="28">
        <f>(Fuentes!G1768/Fuentes!G$47)*100000</f>
        <v>0</v>
      </c>
      <c r="H357" s="36">
        <f>(Fuentes!H1768/Fuentes!H$47)*100000</f>
        <v>0</v>
      </c>
      <c r="I357" s="28">
        <f>(Fuentes!I1768/Fuentes!I$47)*100000</f>
        <v>0</v>
      </c>
      <c r="J357" s="28">
        <f>(Fuentes!J1768/Fuentes!J$47)*100000</f>
        <v>0</v>
      </c>
      <c r="K357" s="28">
        <f>(Fuentes!K1768/Fuentes!K$47)*100000</f>
        <v>0</v>
      </c>
      <c r="L357" s="28">
        <f>(Fuentes!L1768/Fuentes!L$47)*100000</f>
        <v>0</v>
      </c>
      <c r="M357" s="28">
        <f>(Fuentes!M1768/Fuentes!M$47)*100000</f>
        <v>0.50729020131480795</v>
      </c>
      <c r="N357" s="28">
        <f>(Fuentes!N1768/Fuentes!N$47)*100000</f>
        <v>0.97993378696283018</v>
      </c>
      <c r="O357" s="28">
        <f>(Fuentes!O1768/Fuentes!O$47)*100000</f>
        <v>0.58033926633509947</v>
      </c>
      <c r="P357" s="28">
        <f>(Fuentes!P1768/Fuentes!P$47)*100000</f>
        <v>0.42434339225199885</v>
      </c>
      <c r="Q357" s="28">
        <f>(Fuentes!Q1768/Fuentes!Q$47)*100000</f>
        <v>0.2304572754209564</v>
      </c>
      <c r="R357" s="28">
        <f>(Fuentes!R1768/Fuentes!R$47)*100000</f>
        <v>0</v>
      </c>
      <c r="S357" s="28">
        <f>(Fuentes!S1768/Fuentes!S$47)*100000</f>
        <v>0.22493176388217503</v>
      </c>
      <c r="T357" s="28">
        <f>(Fuentes!T1768/Fuentes!T$47)*100000</f>
        <v>2.0212306019972589E-2</v>
      </c>
      <c r="U357" s="28">
        <f>(Fuentes!U1768/Fuentes!U$47)*100000</f>
        <v>0.75948461374111531</v>
      </c>
      <c r="V357" s="28">
        <f>(Fuentes!V1768/Fuentes!V$47)*100000</f>
        <v>0.7117439129584644</v>
      </c>
    </row>
    <row r="358" spans="1:22" s="14" customFormat="1" ht="12.75" x14ac:dyDescent="0.2">
      <c r="A358" s="28" t="s">
        <v>3198</v>
      </c>
      <c r="B358" s="29" t="s">
        <v>3344</v>
      </c>
      <c r="C358" s="29">
        <f>(Fuentes!C1769/Fuentes!C$47)*100000</f>
        <v>0</v>
      </c>
      <c r="D358" s="30">
        <f>(Fuentes!D1769/Fuentes!D$47)*100000</f>
        <v>0</v>
      </c>
      <c r="E358" s="35">
        <f>(Fuentes!E1769/Fuentes!E$47)*100000</f>
        <v>0</v>
      </c>
      <c r="F358" s="28">
        <f>(Fuentes!F1769/Fuentes!F$47)*100000</f>
        <v>0</v>
      </c>
      <c r="G358" s="28">
        <f>(Fuentes!G1769/Fuentes!G$47)*100000</f>
        <v>0</v>
      </c>
      <c r="H358" s="28">
        <f>(Fuentes!H1769/Fuentes!H$47)*100000</f>
        <v>0</v>
      </c>
      <c r="I358" s="28">
        <f>(Fuentes!I1769/Fuentes!I$47)*100000</f>
        <v>0</v>
      </c>
      <c r="J358" s="28">
        <f>(Fuentes!J1769/Fuentes!J$47)*100000</f>
        <v>0</v>
      </c>
      <c r="K358" s="28">
        <f>(Fuentes!K1769/Fuentes!K$47)*100000</f>
        <v>0</v>
      </c>
      <c r="L358" s="28">
        <f>(Fuentes!L1769/Fuentes!L$47)*100000</f>
        <v>0</v>
      </c>
      <c r="M358" s="28">
        <f>(Fuentes!M1769/Fuentes!M$47)*100000</f>
        <v>8.8224382837357909E-2</v>
      </c>
      <c r="N358" s="36">
        <f>(Fuentes!N1769/Fuentes!N$47)*100000</f>
        <v>4.3552612753903562E-2</v>
      </c>
      <c r="O358" s="28">
        <f>(Fuentes!O1769/Fuentes!O$47)*100000</f>
        <v>2.1494046901299982E-2</v>
      </c>
      <c r="P358" s="28">
        <f>(Fuentes!P1769/Fuentes!P$47)*100000</f>
        <v>6.3651508837799825E-2</v>
      </c>
      <c r="Q358" s="28">
        <f>(Fuentes!Q1769/Fuentes!Q$47)*100000</f>
        <v>8.3802645607620518E-2</v>
      </c>
      <c r="R358" s="28">
        <f>(Fuentes!R1769/Fuentes!R$47)*100000</f>
        <v>6.2083176142180403E-2</v>
      </c>
      <c r="S358" s="28">
        <f>(Fuentes!S1769/Fuentes!S$47)*100000</f>
        <v>0.12269005302664091</v>
      </c>
      <c r="T358" s="28">
        <f>(Fuentes!T1769/Fuentes!T$47)*100000</f>
        <v>0.28297228427961624</v>
      </c>
      <c r="U358" s="28">
        <f>(Fuentes!U1769/Fuentes!U$47)*100000</f>
        <v>0.1399050604259949</v>
      </c>
      <c r="V358" s="28">
        <f>(Fuentes!V1769/Fuentes!V$47)*100000</f>
        <v>0.13839464974192364</v>
      </c>
    </row>
    <row r="359" spans="1:22" s="14" customFormat="1" ht="12.75" x14ac:dyDescent="0.2">
      <c r="A359" s="28" t="s">
        <v>3198</v>
      </c>
      <c r="B359" s="29" t="s">
        <v>3345</v>
      </c>
      <c r="C359" s="29">
        <f>(Fuentes!C1770/Fuentes!C$47)*100000</f>
        <v>1.4719747626053332</v>
      </c>
      <c r="D359" s="30">
        <f>(Fuentes!D1770/Fuentes!D$47)*100000</f>
        <v>0</v>
      </c>
      <c r="E359" s="35">
        <f>(Fuentes!E1770/Fuentes!E$47)*100000</f>
        <v>0</v>
      </c>
      <c r="F359" s="28">
        <f>(Fuentes!F1770/Fuentes!F$47)*100000</f>
        <v>1.0033268851227424</v>
      </c>
      <c r="G359" s="28">
        <f>(Fuentes!G1770/Fuentes!G$47)*100000</f>
        <v>0.96343220797225704</v>
      </c>
      <c r="H359" s="36">
        <f>(Fuentes!H1770/Fuentes!H$47)*100000</f>
        <v>0.87776567357365454</v>
      </c>
      <c r="I359" s="28">
        <f>(Fuentes!I1770/Fuentes!I$47)*100000</f>
        <v>0.86475753133694322</v>
      </c>
      <c r="J359" s="28">
        <f>(Fuentes!J1770/Fuentes!J$47)*100000</f>
        <v>0.87549736314017879</v>
      </c>
      <c r="K359" s="28">
        <f>(Fuentes!K1770/Fuentes!K$47)*100000</f>
        <v>1.02177748411136</v>
      </c>
      <c r="L359" s="28">
        <f>(Fuentes!L1770/Fuentes!L$47)*100000</f>
        <v>1.6781012485744529</v>
      </c>
      <c r="M359" s="28">
        <f>(Fuentes!M1770/Fuentes!M$47)*100000</f>
        <v>0.74990725411754222</v>
      </c>
      <c r="N359" s="28">
        <f>(Fuentes!N1770/Fuentes!N$47)*100000</f>
        <v>0.56618396580074637</v>
      </c>
      <c r="O359" s="28">
        <f>(Fuentes!O1770/Fuentes!O$47)*100000</f>
        <v>1.0747023450649991</v>
      </c>
      <c r="P359" s="28">
        <f>(Fuentes!P1770/Fuentes!P$47)*100000</f>
        <v>0.23338886573859938</v>
      </c>
      <c r="Q359" s="28">
        <f>(Fuentes!Q1770/Fuentes!Q$47)*100000</f>
        <v>0.48186521224381795</v>
      </c>
      <c r="R359" s="28">
        <f>(Fuentes!R1770/Fuentes!R$47)*100000</f>
        <v>0.57944297732701711</v>
      </c>
      <c r="S359" s="28">
        <f>(Fuentes!S1770/Fuentes!S$47)*100000</f>
        <v>0.7770370025020592</v>
      </c>
      <c r="T359" s="28">
        <f>(Fuentes!T1770/Fuentes!T$47)*100000</f>
        <v>0.92976607691873903</v>
      </c>
      <c r="U359" s="28">
        <f>(Fuentes!U1770/Fuentes!U$47)*100000</f>
        <v>0.87940323696339673</v>
      </c>
      <c r="V359" s="28">
        <f>(Fuentes!V1770/Fuentes!V$47)*100000</f>
        <v>0.63266125596307943</v>
      </c>
    </row>
    <row r="360" spans="1:22" s="14" customFormat="1" ht="12.75" x14ac:dyDescent="0.2">
      <c r="A360" s="28" t="s">
        <v>3198</v>
      </c>
      <c r="B360" s="29" t="s">
        <v>3346</v>
      </c>
      <c r="C360" s="29">
        <f>(Fuentes!C1771/Fuentes!C$47)*100000</f>
        <v>0</v>
      </c>
      <c r="D360" s="30">
        <f>(Fuentes!D1771/Fuentes!D$47)*100000</f>
        <v>0</v>
      </c>
      <c r="E360" s="35">
        <f>(Fuentes!E1771/Fuentes!E$47)*100000</f>
        <v>0</v>
      </c>
      <c r="F360" s="28">
        <f>(Fuentes!F1771/Fuentes!F$47)*100000</f>
        <v>0</v>
      </c>
      <c r="G360" s="28">
        <f>(Fuentes!G1771/Fuentes!G$47)*100000</f>
        <v>0</v>
      </c>
      <c r="H360" s="28">
        <f>(Fuentes!H1771/Fuentes!H$47)*100000</f>
        <v>0</v>
      </c>
      <c r="I360" s="28">
        <f>(Fuentes!I1771/Fuentes!I$47)*100000</f>
        <v>0</v>
      </c>
      <c r="J360" s="28">
        <f>(Fuentes!J1771/Fuentes!J$47)*100000</f>
        <v>0</v>
      </c>
      <c r="K360" s="28">
        <f>(Fuentes!K1771/Fuentes!K$47)*100000</f>
        <v>0</v>
      </c>
      <c r="L360" s="28">
        <f>(Fuentes!L1771/Fuentes!L$47)*100000</f>
        <v>0</v>
      </c>
      <c r="M360" s="28">
        <f>(Fuentes!M1771/Fuentes!M$47)*100000</f>
        <v>527.3833045060162</v>
      </c>
      <c r="N360" s="36">
        <f>(Fuentes!N1771/Fuentes!N$47)*100000</f>
        <v>507.08307029369928</v>
      </c>
      <c r="O360" s="28">
        <f>(Fuentes!O1771/Fuentes!O$47)*100000</f>
        <v>279.42260971689979</v>
      </c>
      <c r="P360" s="28">
        <f>(Fuentes!P1771/Fuentes!P$47)*100000</f>
        <v>348.55566239579184</v>
      </c>
      <c r="Q360" s="28">
        <f>(Fuentes!Q1771/Fuentes!Q$47)*100000</f>
        <v>393.34866782076881</v>
      </c>
      <c r="R360" s="28">
        <f>(Fuentes!R1771/Fuentes!R$47)*100000</f>
        <v>454.51093253690271</v>
      </c>
      <c r="S360" s="28">
        <f>(Fuentes!S1771/Fuentes!S$47)*100000</f>
        <v>475.03543697698251</v>
      </c>
      <c r="T360" s="28">
        <f>(Fuentes!T1771/Fuentes!T$47)*100000</f>
        <v>482.06349857634621</v>
      </c>
      <c r="U360" s="28">
        <f>(Fuentes!U1771/Fuentes!U$47)*100000</f>
        <v>553.54436479405081</v>
      </c>
      <c r="V360" s="28">
        <f>(Fuentes!V1771/Fuentes!V$47)*100000</f>
        <v>586.08157099279777</v>
      </c>
    </row>
    <row r="361" spans="1:22" s="14" customFormat="1" ht="12.75" x14ac:dyDescent="0.2">
      <c r="A361" s="28" t="s">
        <v>3198</v>
      </c>
      <c r="B361" s="29" t="s">
        <v>3347</v>
      </c>
      <c r="C361" s="29">
        <f>(Fuentes!C1772/Fuentes!C$47)*100000</f>
        <v>0</v>
      </c>
      <c r="D361" s="30">
        <f>(Fuentes!D1772/Fuentes!D$47)*100000</f>
        <v>0</v>
      </c>
      <c r="E361" s="35">
        <f>(Fuentes!E1772/Fuentes!E$47)*100000</f>
        <v>0</v>
      </c>
      <c r="F361" s="28">
        <f>(Fuentes!F1772/Fuentes!F$47)*100000</f>
        <v>0</v>
      </c>
      <c r="G361" s="28">
        <f>(Fuentes!G1772/Fuentes!G$47)*100000</f>
        <v>0</v>
      </c>
      <c r="H361" s="36">
        <f>(Fuentes!H1772/Fuentes!H$47)*100000</f>
        <v>0</v>
      </c>
      <c r="I361" s="28">
        <f>(Fuentes!I1772/Fuentes!I$47)*100000</f>
        <v>0</v>
      </c>
      <c r="J361" s="28">
        <f>(Fuentes!J1772/Fuentes!J$47)*100000</f>
        <v>0</v>
      </c>
      <c r="K361" s="28">
        <f>(Fuentes!K1772/Fuentes!K$47)*100000</f>
        <v>0</v>
      </c>
      <c r="L361" s="28">
        <f>(Fuentes!L1772/Fuentes!L$47)*100000</f>
        <v>0</v>
      </c>
      <c r="M361" s="28">
        <f>(Fuentes!M1772/Fuentes!M$47)*100000</f>
        <v>0.11028047854669738</v>
      </c>
      <c r="N361" s="28">
        <f>(Fuentes!N1772/Fuentes!N$47)*100000</f>
        <v>0</v>
      </c>
      <c r="O361" s="28">
        <f>(Fuentes!O1772/Fuentes!O$47)*100000</f>
        <v>0.64482140703899937</v>
      </c>
      <c r="P361" s="28">
        <f>(Fuentes!P1772/Fuentes!P$47)*100000</f>
        <v>8.4868678450399776E-2</v>
      </c>
      <c r="Q361" s="28">
        <f>(Fuentes!Q1772/Fuentes!Q$47)*100000</f>
        <v>4.1901322803810259E-2</v>
      </c>
      <c r="R361" s="28">
        <f>(Fuentes!R1772/Fuentes!R$47)*100000</f>
        <v>0</v>
      </c>
      <c r="S361" s="28">
        <f>(Fuentes!S1772/Fuentes!S$47)*100000</f>
        <v>0</v>
      </c>
      <c r="T361" s="28">
        <f>(Fuentes!T1772/Fuentes!T$47)*100000</f>
        <v>0</v>
      </c>
      <c r="U361" s="28">
        <f>(Fuentes!U1772/Fuentes!U$47)*100000</f>
        <v>0</v>
      </c>
      <c r="V361" s="28">
        <f>(Fuentes!V1772/Fuentes!V$47)*100000</f>
        <v>0</v>
      </c>
    </row>
    <row r="362" spans="1:22" s="14" customFormat="1" ht="12.75" x14ac:dyDescent="0.2">
      <c r="A362" s="28" t="s">
        <v>3198</v>
      </c>
      <c r="B362" s="29" t="s">
        <v>3348</v>
      </c>
      <c r="C362" s="29">
        <f>(Fuentes!C1773/Fuentes!C$47)*100000</f>
        <v>0</v>
      </c>
      <c r="D362" s="30">
        <f>(Fuentes!D1773/Fuentes!D$47)*100000</f>
        <v>0</v>
      </c>
      <c r="E362" s="35">
        <f>(Fuentes!E1773/Fuentes!E$47)*100000</f>
        <v>0</v>
      </c>
      <c r="F362" s="28">
        <f>(Fuentes!F1773/Fuentes!F$47)*100000</f>
        <v>0</v>
      </c>
      <c r="G362" s="28">
        <f>(Fuentes!G1773/Fuentes!G$47)*100000</f>
        <v>0</v>
      </c>
      <c r="H362" s="28">
        <f>(Fuentes!H1773/Fuentes!H$47)*100000</f>
        <v>0</v>
      </c>
      <c r="I362" s="28">
        <f>(Fuentes!I1773/Fuentes!I$47)*100000</f>
        <v>0</v>
      </c>
      <c r="J362" s="28">
        <f>(Fuentes!J1773/Fuentes!J$47)*100000</f>
        <v>0</v>
      </c>
      <c r="K362" s="28">
        <f>(Fuentes!K1773/Fuentes!K$47)*100000</f>
        <v>0</v>
      </c>
      <c r="L362" s="28">
        <f>(Fuentes!L1773/Fuentes!L$47)*100000</f>
        <v>0</v>
      </c>
      <c r="M362" s="28">
        <f>(Fuentes!M1773/Fuentes!M$47)*100000</f>
        <v>10.631038131901628</v>
      </c>
      <c r="N362" s="36">
        <f>(Fuentes!N1773/Fuentes!N$47)*100000</f>
        <v>11.280126703261024</v>
      </c>
      <c r="O362" s="28">
        <f>(Fuentes!O1773/Fuentes!O$47)*100000</f>
        <v>9.4788746834732915</v>
      </c>
      <c r="P362" s="28">
        <f>(Fuentes!P1773/Fuentes!P$47)*100000</f>
        <v>10.544933297462173</v>
      </c>
      <c r="Q362" s="28">
        <f>(Fuentes!Q1773/Fuentes!Q$47)*100000</f>
        <v>10.098218795718271</v>
      </c>
      <c r="R362" s="28">
        <f>(Fuentes!R1773/Fuentes!R$47)*100000</f>
        <v>10.657611904407636</v>
      </c>
      <c r="S362" s="28">
        <f>(Fuentes!S1773/Fuentes!S$47)*100000</f>
        <v>11.369278247135391</v>
      </c>
      <c r="T362" s="28">
        <f>(Fuentes!T1773/Fuentes!T$47)*100000</f>
        <v>8.125347020028979</v>
      </c>
      <c r="U362" s="28">
        <f>(Fuentes!U1773/Fuentes!U$47)*100000</f>
        <v>8.6341408720042576</v>
      </c>
      <c r="V362" s="28">
        <f>(Fuentes!V1773/Fuentes!V$47)*100000</f>
        <v>10.241204080902349</v>
      </c>
    </row>
    <row r="363" spans="1:22" s="14" customFormat="1" ht="12.75" x14ac:dyDescent="0.2">
      <c r="A363" s="28" t="s">
        <v>3198</v>
      </c>
      <c r="B363" s="29" t="s">
        <v>3349</v>
      </c>
      <c r="C363" s="29">
        <f>(Fuentes!C1774/Fuentes!C$47)*100000</f>
        <v>666.23643685008756</v>
      </c>
      <c r="D363" s="30">
        <f>(Fuentes!D1774/Fuentes!D$47)*100000</f>
        <v>742.34967280004787</v>
      </c>
      <c r="E363" s="35">
        <f>(Fuentes!E1774/Fuentes!E$47)*100000</f>
        <v>730.60296124408342</v>
      </c>
      <c r="F363" s="28">
        <f>(Fuentes!F1774/Fuentes!F$47)*100000</f>
        <v>880.65181987590552</v>
      </c>
      <c r="G363" s="28">
        <f>(Fuentes!G1774/Fuentes!G$47)*100000</f>
        <v>867.32984522702429</v>
      </c>
      <c r="H363" s="36">
        <f>(Fuentes!H1774/Fuentes!H$47)*100000</f>
        <v>896.00896554603673</v>
      </c>
      <c r="I363" s="28">
        <f>(Fuentes!I1774/Fuentes!I$47)*100000</f>
        <v>957.02949711311214</v>
      </c>
      <c r="J363" s="28">
        <f>(Fuentes!J1774/Fuentes!J$47)*100000</f>
        <v>914.38787758703711</v>
      </c>
      <c r="K363" s="28">
        <f>(Fuentes!K1774/Fuentes!K$47)*100000</f>
        <v>906.36204073940371</v>
      </c>
      <c r="L363" s="28">
        <f>(Fuentes!L1774/Fuentes!L$47)*100000</f>
        <v>1001.5803238824908</v>
      </c>
      <c r="M363" s="28">
        <f>(Fuentes!M1774/Fuentes!M$47)*100000</f>
        <v>408.54506082409517</v>
      </c>
      <c r="N363" s="28">
        <f>(Fuentes!N1774/Fuentes!N$47)*100000</f>
        <v>357.89359530520255</v>
      </c>
      <c r="O363" s="28">
        <f>(Fuentes!O1774/Fuentes!O$47)*100000</f>
        <v>696.85849458704672</v>
      </c>
      <c r="P363" s="28">
        <f>(Fuentes!P1774/Fuentes!P$47)*100000</f>
        <v>668.89248920682587</v>
      </c>
      <c r="Q363" s="28">
        <f>(Fuentes!Q1774/Fuentes!Q$47)*100000</f>
        <v>697.38466608521605</v>
      </c>
      <c r="R363" s="28">
        <f>(Fuentes!R1774/Fuentes!R$47)*100000</f>
        <v>543.80723422140557</v>
      </c>
      <c r="S363" s="28">
        <f>(Fuentes!S1774/Fuentes!S$47)*100000</f>
        <v>475.48530050474682</v>
      </c>
      <c r="T363" s="28">
        <f>(Fuentes!T1774/Fuentes!T$47)*100000</f>
        <v>509.69372090564877</v>
      </c>
      <c r="U363" s="28">
        <f>(Fuentes!U1774/Fuentes!U$47)*100000</f>
        <v>508.63484039730645</v>
      </c>
      <c r="V363" s="28">
        <f>(Fuentes!V1774/Fuentes!V$47)*100000</f>
        <v>454.74504838771219</v>
      </c>
    </row>
    <row r="364" spans="1:22" s="14" customFormat="1" ht="12.75" x14ac:dyDescent="0.2">
      <c r="A364" s="28" t="s">
        <v>3198</v>
      </c>
      <c r="B364" s="29" t="s">
        <v>3350</v>
      </c>
      <c r="C364" s="29">
        <f>(Fuentes!C1775/Fuentes!C$47)*100000</f>
        <v>0.43901001691738017</v>
      </c>
      <c r="D364" s="30">
        <f>(Fuentes!D1775/Fuentes!D$47)*100000</f>
        <v>0.15176836707101973</v>
      </c>
      <c r="E364" s="35">
        <f>(Fuentes!E1775/Fuentes!E$47)*100000</f>
        <v>7.4581764112299248E-2</v>
      </c>
      <c r="F364" s="28">
        <f>(Fuentes!F1775/Fuentes!F$47)*100000</f>
        <v>7.3414162326054314E-2</v>
      </c>
      <c r="G364" s="28">
        <f>(Fuentes!G1775/Fuentes!G$47)*100000</f>
        <v>0.19268644159445142</v>
      </c>
      <c r="H364" s="28">
        <f>(Fuentes!H1775/Fuentes!H$47)*100000</f>
        <v>3.155211745548542</v>
      </c>
      <c r="I364" s="28">
        <f>(Fuentes!I1775/Fuentes!I$47)*100000</f>
        <v>0.18697460137014987</v>
      </c>
      <c r="J364" s="28">
        <f>(Fuentes!J1775/Fuentes!J$47)*100000</f>
        <v>9.2157617172650377E-2</v>
      </c>
      <c r="K364" s="28">
        <f>(Fuentes!K1775/Fuentes!K$47)*100000</f>
        <v>9.0824665254343129E-2</v>
      </c>
      <c r="L364" s="28">
        <f>(Fuentes!L1775/Fuentes!L$47)*100000</f>
        <v>8.9498733257304161E-2</v>
      </c>
      <c r="M364" s="28">
        <f>(Fuentes!M1775/Fuentes!M$47)*100000</f>
        <v>0.7278511584082028</v>
      </c>
      <c r="N364" s="36">
        <f>(Fuentes!N1775/Fuentes!N$47)*100000</f>
        <v>0.21776306376951785</v>
      </c>
      <c r="O364" s="28">
        <f>(Fuentes!O1775/Fuentes!O$47)*100000</f>
        <v>6.4482140703899946E-2</v>
      </c>
      <c r="P364" s="28">
        <f>(Fuentes!P1775/Fuentes!P$47)*100000</f>
        <v>0.16973735690079955</v>
      </c>
      <c r="Q364" s="28">
        <f>(Fuentes!Q1775/Fuentes!Q$47)*100000</f>
        <v>0.18855595261714614</v>
      </c>
      <c r="R364" s="28">
        <f>(Fuentes!R1775/Fuentes!R$47)*100000</f>
        <v>0.16555513637914776</v>
      </c>
      <c r="S364" s="28">
        <f>(Fuentes!S1775/Fuentes!S$47)*100000</f>
        <v>0</v>
      </c>
      <c r="T364" s="28">
        <f>(Fuentes!T1775/Fuentes!T$47)*100000</f>
        <v>0</v>
      </c>
      <c r="U364" s="28">
        <f>(Fuentes!U1775/Fuentes!U$47)*100000</f>
        <v>0</v>
      </c>
      <c r="V364" s="28">
        <f>(Fuentes!V1775/Fuentes!V$47)*100000</f>
        <v>0</v>
      </c>
    </row>
    <row r="365" spans="1:22" s="14" customFormat="1" ht="12.75" x14ac:dyDescent="0.2">
      <c r="A365" s="28" t="s">
        <v>3198</v>
      </c>
      <c r="B365" s="29" t="s">
        <v>3351</v>
      </c>
      <c r="C365" s="29">
        <f>(Fuentes!C1776/Fuentes!C$47)*100000</f>
        <v>10.536240406017123</v>
      </c>
      <c r="D365" s="30">
        <f>(Fuentes!D1776/Fuentes!D$47)*100000</f>
        <v>16.947467656263871</v>
      </c>
      <c r="E365" s="35">
        <f>(Fuentes!E1776/Fuentes!E$47)*100000</f>
        <v>26.451665671828799</v>
      </c>
      <c r="F365" s="28">
        <f>(Fuentes!F1776/Fuentes!F$47)*100000</f>
        <v>17.448099246158908</v>
      </c>
      <c r="G365" s="28">
        <f>(Fuentes!G1776/Fuentes!G$47)*100000</f>
        <v>16.185661093933916</v>
      </c>
      <c r="H365" s="36">
        <f>(Fuentes!H1776/Fuentes!H$47)*100000</f>
        <v>17.460419885140801</v>
      </c>
      <c r="I365" s="28">
        <f>(Fuentes!I1776/Fuentes!I$47)*100000</f>
        <v>14.700878032728035</v>
      </c>
      <c r="J365" s="28">
        <f>(Fuentes!J1776/Fuentes!J$47)*100000</f>
        <v>13.823642575897557</v>
      </c>
      <c r="K365" s="28">
        <f>(Fuentes!K1776/Fuentes!K$47)*100000</f>
        <v>17.847046722478424</v>
      </c>
      <c r="L365" s="28">
        <f>(Fuentes!L1776/Fuentes!L$47)*100000</f>
        <v>17.385128935231332</v>
      </c>
      <c r="M365" s="28">
        <f>(Fuentes!M1776/Fuentes!M$47)*100000</f>
        <v>5.0949581088574192</v>
      </c>
      <c r="N365" s="28">
        <f>(Fuentes!N1776/Fuentes!N$47)*100000</f>
        <v>3.8761825350974175</v>
      </c>
      <c r="O365" s="28">
        <f>(Fuentes!O1776/Fuentes!O$47)*100000</f>
        <v>4.9651248342002958</v>
      </c>
      <c r="P365" s="28">
        <f>(Fuentes!P1776/Fuentes!P$47)*100000</f>
        <v>5.4315954208255857</v>
      </c>
      <c r="Q365" s="28">
        <f>(Fuentes!Q1776/Fuentes!Q$47)*100000</f>
        <v>5.2376653504762816</v>
      </c>
      <c r="R365" s="28">
        <f>(Fuentes!R1776/Fuentes!R$47)*100000</f>
        <v>4.9252653072796448</v>
      </c>
      <c r="S365" s="28">
        <f>(Fuentes!S1776/Fuentes!S$47)*100000</f>
        <v>1.4927289784907978</v>
      </c>
      <c r="T365" s="28">
        <f>(Fuentes!T1776/Fuentes!T$47)*100000</f>
        <v>0.1819107541797533</v>
      </c>
      <c r="U365" s="28">
        <f>(Fuentes!U1776/Fuentes!U$47)*100000</f>
        <v>0.63956599051883389</v>
      </c>
      <c r="V365" s="28">
        <f>(Fuentes!V1776/Fuentes!V$47)*100000</f>
        <v>1.6014238041565449</v>
      </c>
    </row>
    <row r="366" spans="1:22" s="14" customFormat="1" ht="12.75" x14ac:dyDescent="0.2">
      <c r="A366" s="28" t="s">
        <v>3198</v>
      </c>
      <c r="B366" s="29" t="s">
        <v>3352</v>
      </c>
      <c r="C366" s="29">
        <f>(Fuentes!C1777/Fuentes!C$47)*100000</f>
        <v>0.64560296605497081</v>
      </c>
      <c r="D366" s="30">
        <f>(Fuentes!D1777/Fuentes!D$47)*100000</f>
        <v>0.63236819612924899</v>
      </c>
      <c r="E366" s="35">
        <f>(Fuentes!E1777/Fuentes!E$47)*100000</f>
        <v>0.54693293682352784</v>
      </c>
      <c r="F366" s="28">
        <f>(Fuentes!F1777/Fuentes!F$47)*100000</f>
        <v>0.12235693721009053</v>
      </c>
      <c r="G366" s="28">
        <f>(Fuentes!G1777/Fuentes!G$47)*100000</f>
        <v>0.19268644159445142</v>
      </c>
      <c r="H366" s="28">
        <f>(Fuentes!H1777/Fuentes!H$47)*100000</f>
        <v>0.2609573624137892</v>
      </c>
      <c r="I366" s="28">
        <f>(Fuentes!I1777/Fuentes!I$47)*100000</f>
        <v>0.1402309510276124</v>
      </c>
      <c r="J366" s="28">
        <f>(Fuentes!J1777/Fuentes!J$47)*100000</f>
        <v>0.18431523434530075</v>
      </c>
      <c r="K366" s="28">
        <f>(Fuentes!K1777/Fuentes!K$47)*100000</f>
        <v>0.18164933050868626</v>
      </c>
      <c r="L366" s="28">
        <f>(Fuentes!L1777/Fuentes!L$47)*100000</f>
        <v>0.1118734165716302</v>
      </c>
      <c r="M366" s="28">
        <f>(Fuentes!M1777/Fuentes!M$47)*100000</f>
        <v>0.24261705280273427</v>
      </c>
      <c r="N366" s="36">
        <f>(Fuentes!N1777/Fuentes!N$47)*100000</f>
        <v>0.26131567652342141</v>
      </c>
      <c r="O366" s="28">
        <f>(Fuentes!O1777/Fuentes!O$47)*100000</f>
        <v>0.1074702345064999</v>
      </c>
      <c r="P366" s="28">
        <f>(Fuentes!P1777/Fuentes!P$47)*100000</f>
        <v>8.4868678450399776E-2</v>
      </c>
      <c r="Q366" s="28">
        <f>(Fuentes!Q1777/Fuentes!Q$47)*100000</f>
        <v>8.3802645607620518E-2</v>
      </c>
      <c r="R366" s="28">
        <f>(Fuentes!R1777/Fuentes!R$47)*100000</f>
        <v>0.22763831252132816</v>
      </c>
      <c r="S366" s="28">
        <f>(Fuentes!S1777/Fuentes!S$47)*100000</f>
        <v>0.34762181690881594</v>
      </c>
      <c r="T366" s="28">
        <f>(Fuentes!T1777/Fuentes!T$47)*100000</f>
        <v>0.20212306019972587</v>
      </c>
      <c r="U366" s="28">
        <f>(Fuentes!U1777/Fuentes!U$47)*100000</f>
        <v>0.21985080924084918</v>
      </c>
      <c r="V366" s="28">
        <f>(Fuentes!V1777/Fuentes!V$47)*100000</f>
        <v>0.25701863523500107</v>
      </c>
    </row>
    <row r="367" spans="1:22" s="14" customFormat="1" ht="12.75" x14ac:dyDescent="0.2">
      <c r="A367" s="28" t="s">
        <v>3198</v>
      </c>
      <c r="B367" s="29" t="s">
        <v>3353</v>
      </c>
      <c r="C367" s="29">
        <f>(Fuentes!C1778/Fuentes!C$47)*100000</f>
        <v>0</v>
      </c>
      <c r="D367" s="30">
        <f>(Fuentes!D1778/Fuentes!D$47)*100000</f>
        <v>0</v>
      </c>
      <c r="E367" s="35">
        <f>(Fuentes!E1778/Fuentes!E$47)*100000</f>
        <v>0</v>
      </c>
      <c r="F367" s="28">
        <f>(Fuentes!F1778/Fuentes!F$47)*100000</f>
        <v>0</v>
      </c>
      <c r="G367" s="28">
        <f>(Fuentes!G1778/Fuentes!G$47)*100000</f>
        <v>0</v>
      </c>
      <c r="H367" s="36">
        <f>(Fuentes!H1778/Fuentes!H$47)*100000</f>
        <v>0</v>
      </c>
      <c r="I367" s="28">
        <f>(Fuentes!I1778/Fuentes!I$47)*100000</f>
        <v>0</v>
      </c>
      <c r="J367" s="28">
        <f>(Fuentes!J1778/Fuentes!J$47)*100000</f>
        <v>0</v>
      </c>
      <c r="K367" s="28">
        <f>(Fuentes!K1778/Fuentes!K$47)*100000</f>
        <v>9.0824665254343129E-2</v>
      </c>
      <c r="L367" s="28">
        <f>(Fuentes!L1778/Fuentes!L$47)*100000</f>
        <v>0</v>
      </c>
      <c r="M367" s="28">
        <f>(Fuentes!M1778/Fuentes!M$47)*100000</f>
        <v>0</v>
      </c>
      <c r="N367" s="28">
        <f>(Fuentes!N1778/Fuentes!N$47)*100000</f>
        <v>0</v>
      </c>
      <c r="O367" s="28">
        <f>(Fuentes!O1778/Fuentes!O$47)*100000</f>
        <v>0</v>
      </c>
      <c r="P367" s="28">
        <f>(Fuentes!P1778/Fuentes!P$47)*100000</f>
        <v>2.1217169612599944E-2</v>
      </c>
      <c r="Q367" s="28">
        <f>(Fuentes!Q1778/Fuentes!Q$47)*100000</f>
        <v>0</v>
      </c>
      <c r="R367" s="28">
        <f>(Fuentes!R1778/Fuentes!R$47)*100000</f>
        <v>0</v>
      </c>
      <c r="S367" s="28">
        <f>(Fuentes!S1778/Fuentes!S$47)*100000</f>
        <v>2.0448342171106821E-2</v>
      </c>
      <c r="T367" s="28">
        <f>(Fuentes!T1778/Fuentes!T$47)*100000</f>
        <v>0</v>
      </c>
      <c r="U367" s="28">
        <f>(Fuentes!U1778/Fuentes!U$47)*100000</f>
        <v>0</v>
      </c>
      <c r="V367" s="28">
        <f>(Fuentes!V1778/Fuentes!V$47)*100000</f>
        <v>1.9770664248846232E-2</v>
      </c>
    </row>
    <row r="368" spans="1:22" s="14" customFormat="1" ht="12.75" x14ac:dyDescent="0.2">
      <c r="A368" s="28" t="s">
        <v>3198</v>
      </c>
      <c r="B368" s="29" t="s">
        <v>3354</v>
      </c>
      <c r="C368" s="29">
        <f>(Fuentes!C1779/Fuentes!C$47)*100000</f>
        <v>0</v>
      </c>
      <c r="D368" s="30">
        <f>(Fuentes!D1779/Fuentes!D$47)*100000</f>
        <v>0</v>
      </c>
      <c r="E368" s="35">
        <f>(Fuentes!E1779/Fuentes!E$47)*100000</f>
        <v>0</v>
      </c>
      <c r="F368" s="28">
        <f>(Fuentes!F1779/Fuentes!F$47)*100000</f>
        <v>0</v>
      </c>
      <c r="G368" s="28">
        <f>(Fuentes!G1779/Fuentes!G$47)*100000</f>
        <v>0</v>
      </c>
      <c r="H368" s="28">
        <f>(Fuentes!H1779/Fuentes!H$47)*100000</f>
        <v>0</v>
      </c>
      <c r="I368" s="28">
        <f>(Fuentes!I1779/Fuentes!I$47)*100000</f>
        <v>0</v>
      </c>
      <c r="J368" s="28">
        <f>(Fuentes!J1779/Fuentes!J$47)*100000</f>
        <v>0</v>
      </c>
      <c r="K368" s="28">
        <f>(Fuentes!K1779/Fuentes!K$47)*100000</f>
        <v>0</v>
      </c>
      <c r="L368" s="28">
        <f>(Fuentes!L1779/Fuentes!L$47)*100000</f>
        <v>0</v>
      </c>
      <c r="M368" s="28">
        <f>(Fuentes!M1779/Fuentes!M$47)*100000</f>
        <v>0</v>
      </c>
      <c r="N368" s="36">
        <f>(Fuentes!N1779/Fuentes!N$47)*100000</f>
        <v>0</v>
      </c>
      <c r="O368" s="28">
        <f>(Fuentes!O1779/Fuentes!O$47)*100000</f>
        <v>0.6233273601376994</v>
      </c>
      <c r="P368" s="28">
        <f>(Fuentes!P1779/Fuentes!P$47)*100000</f>
        <v>1.0608584806299972</v>
      </c>
      <c r="Q368" s="28">
        <f>(Fuentes!Q1779/Fuentes!Q$47)*100000</f>
        <v>1.8855595261714617</v>
      </c>
      <c r="R368" s="28">
        <f>(Fuentes!R1779/Fuentes!R$47)*100000</f>
        <v>4.3872111140474157</v>
      </c>
      <c r="S368" s="28">
        <f>(Fuentes!S1779/Fuentes!S$47)*100000</f>
        <v>6.8501946273207848</v>
      </c>
      <c r="T368" s="28">
        <f>(Fuentes!T1779/Fuentes!T$47)*100000</f>
        <v>9.277448463167417</v>
      </c>
      <c r="U368" s="28">
        <f>(Fuentes!U1779/Fuentes!U$47)*100000</f>
        <v>8.8939645556525342</v>
      </c>
      <c r="V368" s="28">
        <f>(Fuentes!V1779/Fuentes!V$47)*100000</f>
        <v>12.297353162782358</v>
      </c>
    </row>
    <row r="369" spans="1:22" s="14" customFormat="1" ht="12.75" x14ac:dyDescent="0.2">
      <c r="A369" s="28" t="s">
        <v>3198</v>
      </c>
      <c r="B369" s="29" t="s">
        <v>3355</v>
      </c>
      <c r="C369" s="29">
        <f>(Fuentes!C1780/Fuentes!C$47)*100000</f>
        <v>28.329058150492116</v>
      </c>
      <c r="D369" s="30">
        <f>(Fuentes!D1780/Fuentes!D$47)*100000</f>
        <v>25.623559307157166</v>
      </c>
      <c r="E369" s="35">
        <f>(Fuentes!E1780/Fuentes!E$47)*100000</f>
        <v>27.073180372764632</v>
      </c>
      <c r="F369" s="28">
        <f>(Fuentes!F1780/Fuentes!F$47)*100000</f>
        <v>28.753880244371278</v>
      </c>
      <c r="G369" s="28">
        <f>(Fuentes!G1780/Fuentes!G$47)*100000</f>
        <v>25.579125121663424</v>
      </c>
      <c r="H369" s="36">
        <f>(Fuentes!H1780/Fuentes!H$47)*100000</f>
        <v>27.234459277366359</v>
      </c>
      <c r="I369" s="28">
        <f>(Fuentes!I1780/Fuentes!I$47)*100000</f>
        <v>24.867621982229934</v>
      </c>
      <c r="J369" s="28">
        <f>(Fuentes!J1780/Fuentes!J$47)*100000</f>
        <v>22.279103951488228</v>
      </c>
      <c r="K369" s="28">
        <f>(Fuentes!K1780/Fuentes!K$47)*100000</f>
        <v>25.430906271216074</v>
      </c>
      <c r="L369" s="28">
        <f>(Fuentes!L1780/Fuentes!L$47)*100000</f>
        <v>28.169726292736485</v>
      </c>
      <c r="M369" s="28">
        <f>(Fuentes!M1780/Fuentes!M$47)*100000</f>
        <v>25.783575884217846</v>
      </c>
      <c r="N369" s="28">
        <f>(Fuentes!N1780/Fuentes!N$47)*100000</f>
        <v>21.928740521590445</v>
      </c>
      <c r="O369" s="28">
        <f>(Fuentes!O1780/Fuentes!O$47)*100000</f>
        <v>24.52470751438328</v>
      </c>
      <c r="P369" s="28">
        <f>(Fuentes!P1780/Fuentes!P$47)*100000</f>
        <v>22.46898261974334</v>
      </c>
      <c r="Q369" s="28">
        <f>(Fuentes!Q1780/Fuentes!Q$47)*100000</f>
        <v>19.169855182743191</v>
      </c>
      <c r="R369" s="28">
        <f>(Fuentes!R1780/Fuentes!R$47)*100000</f>
        <v>18.749119194938483</v>
      </c>
      <c r="S369" s="28">
        <f>(Fuentes!S1780/Fuentes!S$47)*100000</f>
        <v>21.429862595319946</v>
      </c>
      <c r="T369" s="28">
        <f>(Fuentes!T1780/Fuentes!T$47)*100000</f>
        <v>21.465468993210887</v>
      </c>
      <c r="U369" s="28">
        <f>(Fuentes!U1780/Fuentes!U$47)*100000</f>
        <v>21.585352180010645</v>
      </c>
      <c r="V369" s="28">
        <f>(Fuentes!V1780/Fuentes!V$47)*100000</f>
        <v>24.08066905509471</v>
      </c>
    </row>
    <row r="370" spans="1:22" s="14" customFormat="1" ht="12.75" x14ac:dyDescent="0.2">
      <c r="A370" s="28" t="s">
        <v>3198</v>
      </c>
      <c r="B370" s="29" t="s">
        <v>3356</v>
      </c>
      <c r="C370" s="29">
        <f>(Fuentes!C1781/Fuentes!C$47)*100000</f>
        <v>4.0285625081830174</v>
      </c>
      <c r="D370" s="30">
        <f>(Fuentes!D1781/Fuentes!D$47)*100000</f>
        <v>4.6795246513564424</v>
      </c>
      <c r="E370" s="35">
        <f>(Fuentes!E1781/Fuentes!E$47)*100000</f>
        <v>3.9031123218769945</v>
      </c>
      <c r="F370" s="28">
        <f>(Fuentes!F1781/Fuentes!F$47)*100000</f>
        <v>3.4994084042085891</v>
      </c>
      <c r="G370" s="28">
        <f>(Fuentes!G1781/Fuentes!G$47)*100000</f>
        <v>1.758263779549369</v>
      </c>
      <c r="H370" s="28">
        <f>(Fuentes!H1781/Fuentes!H$47)*100000</f>
        <v>1.8741483300626678</v>
      </c>
      <c r="I370" s="28">
        <f>(Fuentes!I1781/Fuentes!I$47)*100000</f>
        <v>1.6593995871600802</v>
      </c>
      <c r="J370" s="28">
        <f>(Fuentes!J1781/Fuentes!J$47)*100000</f>
        <v>0.89853676743334121</v>
      </c>
      <c r="K370" s="28">
        <f>(Fuentes!K1781/Fuentes!K$47)*100000</f>
        <v>0.90824665254343118</v>
      </c>
      <c r="L370" s="28">
        <f>(Fuentes!L1781/Fuentes!L$47)*100000</f>
        <v>1.4319797321168666</v>
      </c>
      <c r="M370" s="28">
        <f>(Fuentes!M1781/Fuentes!M$47)*100000</f>
        <v>0.68373896698952386</v>
      </c>
      <c r="N370" s="36">
        <f>(Fuentes!N1781/Fuentes!N$47)*100000</f>
        <v>0.58796027217769808</v>
      </c>
      <c r="O370" s="28">
        <f>(Fuentes!O1781/Fuentes!O$47)*100000</f>
        <v>0.60183331323639944</v>
      </c>
      <c r="P370" s="28">
        <f>(Fuentes!P1781/Fuentes!P$47)*100000</f>
        <v>1.0396413110173972</v>
      </c>
      <c r="Q370" s="28">
        <f>(Fuentes!Q1781/Fuentes!Q$47)*100000</f>
        <v>0.77517447187048971</v>
      </c>
      <c r="R370" s="28">
        <f>(Fuentes!R1781/Fuentes!R$47)*100000</f>
        <v>1.8831896763128055</v>
      </c>
      <c r="S370" s="28">
        <f>(Fuentes!S1781/Fuentes!S$47)*100000</f>
        <v>0.67479529164652496</v>
      </c>
      <c r="T370" s="28">
        <f>(Fuentes!T1781/Fuentes!T$47)*100000</f>
        <v>1.1723137491584101</v>
      </c>
      <c r="U370" s="28">
        <f>(Fuentes!U1781/Fuentes!U$47)*100000</f>
        <v>1.2591455438339543</v>
      </c>
      <c r="V370" s="28">
        <f>(Fuentes!V1781/Fuentes!V$47)*100000</f>
        <v>1.1466985264330816</v>
      </c>
    </row>
    <row r="371" spans="1:22" s="14" customFormat="1" ht="12.75" x14ac:dyDescent="0.2">
      <c r="A371" s="28" t="s">
        <v>3198</v>
      </c>
      <c r="B371" s="29" t="s">
        <v>3357</v>
      </c>
      <c r="C371" s="29">
        <f>(Fuentes!C1782/Fuentes!C$47)*100000</f>
        <v>0.69725120333936841</v>
      </c>
      <c r="D371" s="30">
        <f>(Fuentes!D1782/Fuentes!D$47)*100000</f>
        <v>0.83472601889060871</v>
      </c>
      <c r="E371" s="35">
        <f>(Fuentes!E1782/Fuentes!E$47)*100000</f>
        <v>0.89498116934759098</v>
      </c>
      <c r="F371" s="28">
        <f>(Fuentes!F1782/Fuentes!F$47)*100000</f>
        <v>0.66072746093448886</v>
      </c>
      <c r="G371" s="28">
        <f>(Fuentes!G1782/Fuentes!G$47)*100000</f>
        <v>0.9875180131715634</v>
      </c>
      <c r="H371" s="36">
        <f>(Fuentes!H1782/Fuentes!H$47)*100000</f>
        <v>0.49819132824450663</v>
      </c>
      <c r="I371" s="28">
        <f>(Fuentes!I1782/Fuentes!I$47)*100000</f>
        <v>0.42069285308283721</v>
      </c>
      <c r="J371" s="28">
        <f>(Fuentes!J1782/Fuentes!J$47)*100000</f>
        <v>0.36863046869060151</v>
      </c>
      <c r="K371" s="28">
        <f>(Fuentes!K1782/Fuentes!K$47)*100000</f>
        <v>0.52224182521247298</v>
      </c>
      <c r="L371" s="28">
        <f>(Fuentes!L1782/Fuentes!L$47)*100000</f>
        <v>0.62649113280112911</v>
      </c>
      <c r="M371" s="28">
        <f>(Fuentes!M1782/Fuentes!M$47)*100000</f>
        <v>0.6396267755708448</v>
      </c>
      <c r="N371" s="28">
        <f>(Fuentes!N1782/Fuentes!N$47)*100000</f>
        <v>0.41374982116208386</v>
      </c>
      <c r="O371" s="28">
        <f>(Fuentes!O1782/Fuentes!O$47)*100000</f>
        <v>0.47286903182859957</v>
      </c>
      <c r="P371" s="28">
        <f>(Fuentes!P1782/Fuentes!P$47)*100000</f>
        <v>0.5940807491527984</v>
      </c>
      <c r="Q371" s="28">
        <f>(Fuentes!Q1782/Fuentes!Q$47)*100000</f>
        <v>0.56566785785143836</v>
      </c>
      <c r="R371" s="28">
        <f>(Fuentes!R1782/Fuentes!R$47)*100000</f>
        <v>0.16555513637914776</v>
      </c>
      <c r="S371" s="28">
        <f>(Fuentes!S1782/Fuentes!S$47)*100000</f>
        <v>0.7770370025020592</v>
      </c>
      <c r="T371" s="28">
        <f>(Fuentes!T1782/Fuentes!T$47)*100000</f>
        <v>0.5053076504993147</v>
      </c>
      <c r="U371" s="28">
        <f>(Fuentes!U1782/Fuentes!U$47)*100000</f>
        <v>0.79945748814854245</v>
      </c>
      <c r="V371" s="28">
        <f>(Fuentes!V1782/Fuentes!V$47)*100000</f>
        <v>0.86990922694923423</v>
      </c>
    </row>
    <row r="372" spans="1:22" s="14" customFormat="1" ht="12.75" x14ac:dyDescent="0.2">
      <c r="A372" s="28" t="s">
        <v>3198</v>
      </c>
      <c r="B372" s="29" t="s">
        <v>3358</v>
      </c>
      <c r="C372" s="29">
        <f>(Fuentes!C1783/Fuentes!C$47)*100000</f>
        <v>34.320253675482249</v>
      </c>
      <c r="D372" s="30">
        <f>(Fuentes!D1783/Fuentes!D$47)*100000</f>
        <v>27.798905901841785</v>
      </c>
      <c r="E372" s="35">
        <f>(Fuentes!E1783/Fuentes!E$47)*100000</f>
        <v>23.866164515935761</v>
      </c>
      <c r="F372" s="28">
        <f>(Fuentes!F1783/Fuentes!F$47)*100000</f>
        <v>25.572599876908924</v>
      </c>
      <c r="G372" s="28">
        <f>(Fuentes!G1783/Fuentes!G$47)*100000</f>
        <v>17.004578470710335</v>
      </c>
      <c r="H372" s="28">
        <f>(Fuentes!H1783/Fuentes!H$47)*100000</f>
        <v>12.264996033448092</v>
      </c>
      <c r="I372" s="28">
        <f>(Fuentes!I1783/Fuentes!I$47)*100000</f>
        <v>8.039907858916445</v>
      </c>
      <c r="J372" s="28">
        <f>(Fuentes!J1783/Fuentes!J$47)*100000</f>
        <v>7.9255550768479326</v>
      </c>
      <c r="K372" s="28">
        <f>(Fuentes!K1783/Fuentes!K$47)*100000</f>
        <v>7.7655088792463376</v>
      </c>
      <c r="L372" s="28">
        <f>(Fuentes!L1783/Fuentes!L$47)*100000</f>
        <v>10.672723940933521</v>
      </c>
      <c r="M372" s="28">
        <f>(Fuentes!M1783/Fuentes!M$47)*100000</f>
        <v>9.8149625906560676</v>
      </c>
      <c r="N372" s="36">
        <f>(Fuentes!N1783/Fuentes!N$47)*100000</f>
        <v>7.4474967809175094</v>
      </c>
      <c r="O372" s="28">
        <f>(Fuentes!O1783/Fuentes!O$47)*100000</f>
        <v>7.7593509313692932</v>
      </c>
      <c r="P372" s="28">
        <f>(Fuentes!P1783/Fuentes!P$47)*100000</f>
        <v>5.4315954208255857</v>
      </c>
      <c r="Q372" s="28">
        <f>(Fuentes!Q1783/Fuentes!Q$47)*100000</f>
        <v>5.1748133662705662</v>
      </c>
      <c r="R372" s="28">
        <f>(Fuentes!R1783/Fuentes!R$47)*100000</f>
        <v>4.4079055060948082</v>
      </c>
      <c r="S372" s="28">
        <f>(Fuentes!S1783/Fuentes!S$47)*100000</f>
        <v>4.1919101450768981</v>
      </c>
      <c r="T372" s="28">
        <f>(Fuentes!T1783/Fuentes!T$47)*100000</f>
        <v>3.1733320451356959</v>
      </c>
      <c r="U372" s="28">
        <f>(Fuentes!U1783/Fuentes!U$47)*100000</f>
        <v>2.9380062689458932</v>
      </c>
      <c r="V372" s="28">
        <f>(Fuentes!V1783/Fuentes!V$47)*100000</f>
        <v>3.5191782362946293</v>
      </c>
    </row>
    <row r="373" spans="1:22" s="14" customFormat="1" ht="12.75" x14ac:dyDescent="0.2">
      <c r="A373" s="28" t="s">
        <v>3198</v>
      </c>
      <c r="B373" s="29" t="s">
        <v>3359</v>
      </c>
      <c r="C373" s="29">
        <f>(Fuentes!C1784/Fuentes!C$47)*100000</f>
        <v>0.3357135423485848</v>
      </c>
      <c r="D373" s="30">
        <f>(Fuentes!D1784/Fuentes!D$47)*100000</f>
        <v>0.6829576518195889</v>
      </c>
      <c r="E373" s="35">
        <f>(Fuentes!E1784/Fuentes!E$47)*100000</f>
        <v>0.47235117271122856</v>
      </c>
      <c r="F373" s="28">
        <f>(Fuentes!F1784/Fuentes!F$47)*100000</f>
        <v>2.349253194433738</v>
      </c>
      <c r="G373" s="28">
        <f>(Fuentes!G1784/Fuentes!G$47)*100000</f>
        <v>0.19268644159445142</v>
      </c>
      <c r="H373" s="36">
        <f>(Fuentes!H1784/Fuentes!H$47)*100000</f>
        <v>1.3759570018181611</v>
      </c>
      <c r="I373" s="28">
        <f>(Fuentes!I1784/Fuentes!I$47)*100000</f>
        <v>7.0115475513806202E-2</v>
      </c>
      <c r="J373" s="28">
        <f>(Fuentes!J1784/Fuentes!J$47)*100000</f>
        <v>0.18431523434530075</v>
      </c>
      <c r="K373" s="28">
        <f>(Fuentes!K1784/Fuentes!K$47)*100000</f>
        <v>6.8118498940757347E-2</v>
      </c>
      <c r="L373" s="28">
        <f>(Fuentes!L1784/Fuentes!L$47)*100000</f>
        <v>2.237468331432604E-2</v>
      </c>
      <c r="M373" s="28">
        <f>(Fuentes!M1784/Fuentes!M$47)*100000</f>
        <v>2.2056095709339477E-2</v>
      </c>
      <c r="N373" s="28">
        <f>(Fuentes!N1784/Fuentes!N$47)*100000</f>
        <v>2.1776306376951781E-2</v>
      </c>
      <c r="O373" s="28">
        <f>(Fuentes!O1784/Fuentes!O$47)*100000</f>
        <v>4.2988093802599964E-2</v>
      </c>
      <c r="P373" s="28">
        <f>(Fuentes!P1784/Fuentes!P$47)*100000</f>
        <v>0.12730301767559965</v>
      </c>
      <c r="Q373" s="28">
        <f>(Fuentes!Q1784/Fuentes!Q$47)*100000</f>
        <v>4.1901322803810259E-2</v>
      </c>
      <c r="R373" s="28">
        <f>(Fuentes!R1784/Fuentes!R$47)*100000</f>
        <v>0</v>
      </c>
      <c r="S373" s="28">
        <f>(Fuentes!S1784/Fuentes!S$47)*100000</f>
        <v>0</v>
      </c>
      <c r="T373" s="28">
        <f>(Fuentes!T1784/Fuentes!T$47)*100000</f>
        <v>0</v>
      </c>
      <c r="U373" s="28">
        <f>(Fuentes!U1784/Fuentes!U$47)*100000</f>
        <v>0</v>
      </c>
      <c r="V373" s="28">
        <f>(Fuentes!V1784/Fuentes!V$47)*100000</f>
        <v>1.9770664248846232E-2</v>
      </c>
    </row>
    <row r="374" spans="1:22" s="14" customFormat="1" ht="12.75" x14ac:dyDescent="0.2">
      <c r="A374" s="28" t="s">
        <v>3198</v>
      </c>
      <c r="B374" s="29" t="s">
        <v>3360</v>
      </c>
      <c r="C374" s="29">
        <f>(Fuentes!C1785/Fuentes!C$47)*100000</f>
        <v>0</v>
      </c>
      <c r="D374" s="30">
        <f>(Fuentes!D1785/Fuentes!D$47)*100000</f>
        <v>0</v>
      </c>
      <c r="E374" s="35">
        <f>(Fuentes!E1785/Fuentes!E$47)*100000</f>
        <v>0</v>
      </c>
      <c r="F374" s="28">
        <f>(Fuentes!F1785/Fuentes!F$47)*100000</f>
        <v>0</v>
      </c>
      <c r="G374" s="28">
        <f>(Fuentes!G1785/Fuentes!G$47)*100000</f>
        <v>0</v>
      </c>
      <c r="H374" s="28">
        <f>(Fuentes!H1785/Fuentes!H$47)*100000</f>
        <v>0</v>
      </c>
      <c r="I374" s="28">
        <f>(Fuentes!I1785/Fuentes!I$47)*100000</f>
        <v>0</v>
      </c>
      <c r="J374" s="28">
        <f>(Fuentes!J1785/Fuentes!J$47)*100000</f>
        <v>0</v>
      </c>
      <c r="K374" s="28">
        <f>(Fuentes!K1785/Fuentes!K$47)*100000</f>
        <v>2.2706166313585782E-2</v>
      </c>
      <c r="L374" s="28">
        <f>(Fuentes!L1785/Fuentes!L$47)*100000</f>
        <v>0</v>
      </c>
      <c r="M374" s="28">
        <f>(Fuentes!M1785/Fuentes!M$47)*100000</f>
        <v>0</v>
      </c>
      <c r="N374" s="36">
        <f>(Fuentes!N1785/Fuentes!N$47)*100000</f>
        <v>0</v>
      </c>
      <c r="O374" s="28">
        <f>(Fuentes!O1785/Fuentes!O$47)*100000</f>
        <v>0</v>
      </c>
      <c r="P374" s="28">
        <f>(Fuentes!P1785/Fuentes!P$47)*100000</f>
        <v>0</v>
      </c>
      <c r="Q374" s="28">
        <f>(Fuentes!Q1785/Fuentes!Q$47)*100000</f>
        <v>0</v>
      </c>
      <c r="R374" s="28">
        <f>(Fuentes!R1785/Fuentes!R$47)*100000</f>
        <v>2.069439204739347E-2</v>
      </c>
      <c r="S374" s="28">
        <f>(Fuentes!S1785/Fuentes!S$47)*100000</f>
        <v>2.0448342171106821E-2</v>
      </c>
      <c r="T374" s="28">
        <f>(Fuentes!T1785/Fuentes!T$47)*100000</f>
        <v>0</v>
      </c>
      <c r="U374" s="28">
        <f>(Fuentes!U1785/Fuentes!U$47)*100000</f>
        <v>0</v>
      </c>
      <c r="V374" s="28">
        <f>(Fuentes!V1785/Fuentes!V$47)*100000</f>
        <v>5.9311992746538693E-2</v>
      </c>
    </row>
    <row r="375" spans="1:22" s="14" customFormat="1" ht="12.75" x14ac:dyDescent="0.2">
      <c r="A375" s="28" t="s">
        <v>3198</v>
      </c>
      <c r="B375" s="29" t="s">
        <v>3361</v>
      </c>
      <c r="C375" s="29">
        <f>(Fuentes!C1786/Fuentes!C$47)*100000</f>
        <v>5.1648237284397658E-2</v>
      </c>
      <c r="D375" s="30">
        <f>(Fuentes!D1786/Fuentes!D$47)*100000</f>
        <v>0</v>
      </c>
      <c r="E375" s="35">
        <f>(Fuentes!E1786/Fuentes!E$47)*100000</f>
        <v>0</v>
      </c>
      <c r="F375" s="28">
        <f>(Fuentes!F1786/Fuentes!F$47)*100000</f>
        <v>0</v>
      </c>
      <c r="G375" s="28">
        <f>(Fuentes!G1786/Fuentes!G$47)*100000</f>
        <v>0</v>
      </c>
      <c r="H375" s="36">
        <f>(Fuentes!H1786/Fuentes!H$47)*100000</f>
        <v>0</v>
      </c>
      <c r="I375" s="28">
        <f>(Fuentes!I1786/Fuentes!I$47)*100000</f>
        <v>0</v>
      </c>
      <c r="J375" s="28">
        <f>(Fuentes!J1786/Fuentes!J$47)*100000</f>
        <v>0</v>
      </c>
      <c r="K375" s="28">
        <f>(Fuentes!K1786/Fuentes!K$47)*100000</f>
        <v>0</v>
      </c>
      <c r="L375" s="28">
        <f>(Fuentes!L1786/Fuentes!L$47)*100000</f>
        <v>2.237468331432604E-2</v>
      </c>
      <c r="M375" s="28">
        <f>(Fuentes!M1786/Fuentes!M$47)*100000</f>
        <v>0</v>
      </c>
      <c r="N375" s="28">
        <f>(Fuentes!N1786/Fuentes!N$47)*100000</f>
        <v>0</v>
      </c>
      <c r="O375" s="28">
        <f>(Fuentes!O1786/Fuentes!O$47)*100000</f>
        <v>0</v>
      </c>
      <c r="P375" s="28">
        <f>(Fuentes!P1786/Fuentes!P$47)*100000</f>
        <v>0</v>
      </c>
      <c r="Q375" s="28">
        <f>(Fuentes!Q1786/Fuentes!Q$47)*100000</f>
        <v>0</v>
      </c>
      <c r="R375" s="28">
        <f>(Fuentes!R1786/Fuentes!R$47)*100000</f>
        <v>0</v>
      </c>
      <c r="S375" s="28">
        <f>(Fuentes!S1786/Fuentes!S$47)*100000</f>
        <v>0</v>
      </c>
      <c r="T375" s="28">
        <f>(Fuentes!T1786/Fuentes!T$47)*100000</f>
        <v>0</v>
      </c>
      <c r="U375" s="28">
        <f>(Fuentes!U1786/Fuentes!U$47)*100000</f>
        <v>0</v>
      </c>
      <c r="V375" s="28">
        <f>(Fuentes!V1786/Fuentes!V$47)*100000</f>
        <v>0</v>
      </c>
    </row>
    <row r="376" spans="1:22" s="14" customFormat="1" ht="12.75" x14ac:dyDescent="0.2">
      <c r="A376" s="28" t="s">
        <v>3198</v>
      </c>
      <c r="B376" s="29" t="s">
        <v>3362</v>
      </c>
      <c r="C376" s="29">
        <f>(Fuentes!C1787/Fuentes!C$47)*100000</f>
        <v>0.10329647456879532</v>
      </c>
      <c r="D376" s="30">
        <f>(Fuentes!D1787/Fuentes!D$47)*100000</f>
        <v>0.15176836707101973</v>
      </c>
      <c r="E376" s="35">
        <f>(Fuentes!E1787/Fuentes!E$47)*100000</f>
        <v>0.22374529233689774</v>
      </c>
      <c r="F376" s="28">
        <f>(Fuentes!F1787/Fuentes!F$47)*100000</f>
        <v>0.26918526186219921</v>
      </c>
      <c r="G376" s="28">
        <f>(Fuentes!G1787/Fuentes!G$47)*100000</f>
        <v>0.50580190918543488</v>
      </c>
      <c r="H376" s="28">
        <f>(Fuentes!H1787/Fuentes!H$47)*100000</f>
        <v>0.42702113849529139</v>
      </c>
      <c r="I376" s="28">
        <f>(Fuentes!I1787/Fuentes!I$47)*100000</f>
        <v>0.70115475513806202</v>
      </c>
      <c r="J376" s="28">
        <f>(Fuentes!J1787/Fuentes!J$47)*100000</f>
        <v>0.99069438460599157</v>
      </c>
      <c r="K376" s="28">
        <f>(Fuentes!K1787/Fuentes!K$47)*100000</f>
        <v>0.93095281885701708</v>
      </c>
      <c r="L376" s="28">
        <f>(Fuentes!L1787/Fuentes!L$47)*100000</f>
        <v>0.98448606583034581</v>
      </c>
      <c r="M376" s="28">
        <f>(Fuentes!M1787/Fuentes!M$47)*100000</f>
        <v>1.3895340296883871</v>
      </c>
      <c r="N376" s="36">
        <f>(Fuentes!N1787/Fuentes!N$47)*100000</f>
        <v>0.8928285614550231</v>
      </c>
      <c r="O376" s="28">
        <f>(Fuentes!O1787/Fuentes!O$47)*100000</f>
        <v>0.73079759464419936</v>
      </c>
      <c r="P376" s="28">
        <f>(Fuentes!P1787/Fuentes!P$47)*100000</f>
        <v>0.46677773147719875</v>
      </c>
      <c r="Q376" s="28">
        <f>(Fuentes!Q1787/Fuentes!Q$47)*100000</f>
        <v>0.75422381046858455</v>
      </c>
      <c r="R376" s="28">
        <f>(Fuentes!R1787/Fuentes!R$47)*100000</f>
        <v>0.51735980118483671</v>
      </c>
      <c r="S376" s="28">
        <f>(Fuentes!S1787/Fuentes!S$47)*100000</f>
        <v>0.51120855427767042</v>
      </c>
      <c r="T376" s="28">
        <f>(Fuentes!T1787/Fuentes!T$47)*100000</f>
        <v>0.58615687457920507</v>
      </c>
      <c r="U376" s="28">
        <f>(Fuentes!U1787/Fuentes!U$47)*100000</f>
        <v>0.35975586966684409</v>
      </c>
      <c r="V376" s="28">
        <f>(Fuentes!V1787/Fuentes!V$47)*100000</f>
        <v>0.67220258446077197</v>
      </c>
    </row>
    <row r="377" spans="1:22" s="14" customFormat="1" ht="12.75" x14ac:dyDescent="0.2">
      <c r="A377" s="28" t="s">
        <v>3198</v>
      </c>
      <c r="B377" s="29" t="s">
        <v>3363</v>
      </c>
      <c r="C377" s="29">
        <f>(Fuentes!C1788/Fuentes!C$47)*100000</f>
        <v>0</v>
      </c>
      <c r="D377" s="30">
        <f>(Fuentes!D1788/Fuentes!D$47)*100000</f>
        <v>0</v>
      </c>
      <c r="E377" s="35">
        <f>(Fuentes!E1788/Fuentes!E$47)*100000</f>
        <v>0</v>
      </c>
      <c r="F377" s="28">
        <f>(Fuentes!F1788/Fuentes!F$47)*100000</f>
        <v>0</v>
      </c>
      <c r="G377" s="28">
        <f>(Fuentes!G1788/Fuentes!G$47)*100000</f>
        <v>0</v>
      </c>
      <c r="H377" s="36">
        <f>(Fuentes!H1788/Fuentes!H$47)*100000</f>
        <v>0</v>
      </c>
      <c r="I377" s="28">
        <f>(Fuentes!I1788/Fuentes!I$47)*100000</f>
        <v>0</v>
      </c>
      <c r="J377" s="28">
        <f>(Fuentes!J1788/Fuentes!J$47)*100000</f>
        <v>0</v>
      </c>
      <c r="K377" s="28">
        <f>(Fuentes!K1788/Fuentes!K$47)*100000</f>
        <v>0</v>
      </c>
      <c r="L377" s="28">
        <f>(Fuentes!L1788/Fuentes!L$47)*100000</f>
        <v>4.4749366628652081E-2</v>
      </c>
      <c r="M377" s="28">
        <f>(Fuentes!M1788/Fuentes!M$47)*100000</f>
        <v>2.2056095709339477E-2</v>
      </c>
      <c r="N377" s="28">
        <f>(Fuentes!N1788/Fuentes!N$47)*100000</f>
        <v>0</v>
      </c>
      <c r="O377" s="28">
        <f>(Fuentes!O1788/Fuentes!O$47)*100000</f>
        <v>2.1494046901299982E-2</v>
      </c>
      <c r="P377" s="28">
        <f>(Fuentes!P1788/Fuentes!P$47)*100000</f>
        <v>4.2434339225199888E-2</v>
      </c>
      <c r="Q377" s="28">
        <f>(Fuentes!Q1788/Fuentes!Q$47)*100000</f>
        <v>4.1901322803810259E-2</v>
      </c>
      <c r="R377" s="28">
        <f>(Fuentes!R1788/Fuentes!R$47)*100000</f>
        <v>4.138878409478694E-2</v>
      </c>
      <c r="S377" s="28">
        <f>(Fuentes!S1788/Fuentes!S$47)*100000</f>
        <v>0.14313839519774774</v>
      </c>
      <c r="T377" s="28">
        <f>(Fuentes!T1788/Fuentes!T$47)*100000</f>
        <v>0.30318459029958883</v>
      </c>
      <c r="U377" s="28">
        <f>(Fuentes!U1788/Fuentes!U$47)*100000</f>
        <v>0.67953886492626103</v>
      </c>
      <c r="V377" s="28">
        <f>(Fuentes!V1788/Fuentes!V$47)*100000</f>
        <v>0.81059723420269558</v>
      </c>
    </row>
    <row r="378" spans="1:22" s="14" customFormat="1" ht="12.75" x14ac:dyDescent="0.2">
      <c r="A378" s="28" t="s">
        <v>3198</v>
      </c>
      <c r="B378" s="29" t="s">
        <v>3364</v>
      </c>
      <c r="C378" s="29">
        <f>(Fuentes!C1789/Fuentes!C$47)*100000</f>
        <v>33.158168336583302</v>
      </c>
      <c r="D378" s="30">
        <f>(Fuentes!D1789/Fuentes!D$47)*100000</f>
        <v>25.952390769144376</v>
      </c>
      <c r="E378" s="35">
        <f>(Fuentes!E1789/Fuentes!E$47)*100000</f>
        <v>22.225365705465176</v>
      </c>
      <c r="F378" s="28">
        <f>(Fuentes!F1789/Fuentes!F$47)*100000</f>
        <v>22.024248697816294</v>
      </c>
      <c r="G378" s="28">
        <f>(Fuentes!G1789/Fuentes!G$47)*100000</f>
        <v>15.655773379549178</v>
      </c>
      <c r="H378" s="28">
        <f>(Fuentes!H1789/Fuentes!H$47)*100000</f>
        <v>9.8926563751409162</v>
      </c>
      <c r="I378" s="28">
        <f>(Fuentes!I1789/Fuentes!I$47)*100000</f>
        <v>6.6609701738115898</v>
      </c>
      <c r="J378" s="28">
        <f>(Fuentes!J1789/Fuentes!J$47)*100000</f>
        <v>6.3127967763265511</v>
      </c>
      <c r="K378" s="28">
        <f>(Fuentes!K1789/Fuentes!K$47)*100000</f>
        <v>6.335020401490433</v>
      </c>
      <c r="L378" s="28">
        <f>(Fuentes!L1789/Fuentes!L$47)*100000</f>
        <v>9.1064961089306991</v>
      </c>
      <c r="M378" s="28">
        <f>(Fuentes!M1789/Fuentes!M$47)*100000</f>
        <v>7.8740261682341925</v>
      </c>
      <c r="N378" s="36">
        <f>(Fuentes!N1789/Fuentes!N$47)*100000</f>
        <v>5.8796027217769815</v>
      </c>
      <c r="O378" s="28">
        <f>(Fuentes!O1789/Fuentes!O$47)*100000</f>
        <v>6.5986723986990938</v>
      </c>
      <c r="P378" s="28">
        <f>(Fuentes!P1789/Fuentes!P$47)*100000</f>
        <v>4.5192571274837876</v>
      </c>
      <c r="Q378" s="28">
        <f>(Fuentes!Q1789/Fuentes!Q$47)*100000</f>
        <v>3.7292177295391125</v>
      </c>
      <c r="R378" s="28">
        <f>(Fuentes!R1789/Fuentes!R$47)*100000</f>
        <v>3.4973522560094961</v>
      </c>
      <c r="S378" s="28">
        <f>(Fuentes!S1789/Fuentes!S$47)*100000</f>
        <v>0</v>
      </c>
      <c r="T378" s="28">
        <f>(Fuentes!T1789/Fuentes!T$47)*100000</f>
        <v>8.0849224079890356E-2</v>
      </c>
      <c r="U378" s="28">
        <f>(Fuentes!U1789/Fuentes!U$47)*100000</f>
        <v>0</v>
      </c>
      <c r="V378" s="28">
        <f>(Fuentes!V1789/Fuentes!V$47)*100000</f>
        <v>1.9770664248846232E-2</v>
      </c>
    </row>
    <row r="379" spans="1:22" s="14" customFormat="1" ht="12.75" x14ac:dyDescent="0.2">
      <c r="A379" s="28" t="s">
        <v>3198</v>
      </c>
      <c r="B379" s="29" t="s">
        <v>3365</v>
      </c>
      <c r="C379" s="29">
        <f>(Fuentes!C1790/Fuentes!C$47)*100000</f>
        <v>0</v>
      </c>
      <c r="D379" s="30">
        <f>(Fuentes!D1790/Fuentes!D$47)*100000</f>
        <v>0</v>
      </c>
      <c r="E379" s="35">
        <f>(Fuentes!E1790/Fuentes!E$47)*100000</f>
        <v>0</v>
      </c>
      <c r="F379" s="28">
        <f>(Fuentes!F1790/Fuentes!F$47)*100000</f>
        <v>0</v>
      </c>
      <c r="G379" s="28">
        <f>(Fuentes!G1790/Fuentes!G$47)*100000</f>
        <v>0</v>
      </c>
      <c r="H379" s="36">
        <f>(Fuentes!H1790/Fuentes!H$47)*100000</f>
        <v>0</v>
      </c>
      <c r="I379" s="28">
        <f>(Fuentes!I1790/Fuentes!I$47)*100000</f>
        <v>0</v>
      </c>
      <c r="J379" s="28">
        <f>(Fuentes!J1790/Fuentes!J$47)*100000</f>
        <v>4.6078808586325189E-2</v>
      </c>
      <c r="K379" s="28">
        <f>(Fuentes!K1790/Fuentes!K$47)*100000</f>
        <v>0</v>
      </c>
      <c r="L379" s="28">
        <f>(Fuentes!L1790/Fuentes!L$47)*100000</f>
        <v>0</v>
      </c>
      <c r="M379" s="28">
        <f>(Fuentes!M1790/Fuentes!M$47)*100000</f>
        <v>0</v>
      </c>
      <c r="N379" s="28">
        <f>(Fuentes!N1790/Fuentes!N$47)*100000</f>
        <v>4.3552612753903562E-2</v>
      </c>
      <c r="O379" s="28">
        <f>(Fuentes!O1790/Fuentes!O$47)*100000</f>
        <v>0</v>
      </c>
      <c r="P379" s="28">
        <f>(Fuentes!P1790/Fuentes!P$47)*100000</f>
        <v>0</v>
      </c>
      <c r="Q379" s="28">
        <f>(Fuentes!Q1790/Fuentes!Q$47)*100000</f>
        <v>0</v>
      </c>
      <c r="R379" s="28">
        <f>(Fuentes!R1790/Fuentes!R$47)*100000</f>
        <v>2.069439204739347E-2</v>
      </c>
      <c r="S379" s="28">
        <f>(Fuentes!S1790/Fuentes!S$47)*100000</f>
        <v>0</v>
      </c>
      <c r="T379" s="28">
        <f>(Fuentes!T1790/Fuentes!T$47)*100000</f>
        <v>0</v>
      </c>
      <c r="U379" s="28">
        <f>(Fuentes!U1790/Fuentes!U$47)*100000</f>
        <v>0</v>
      </c>
      <c r="V379" s="28">
        <f>(Fuentes!V1790/Fuentes!V$47)*100000</f>
        <v>0</v>
      </c>
    </row>
    <row r="380" spans="1:22" s="14" customFormat="1" ht="12.75" x14ac:dyDescent="0.2">
      <c r="A380" s="28" t="s">
        <v>3198</v>
      </c>
      <c r="B380" s="29" t="s">
        <v>3366</v>
      </c>
      <c r="C380" s="29">
        <f>(Fuentes!C1791/Fuentes!C$47)*100000</f>
        <v>2.5824118642198829E-2</v>
      </c>
      <c r="D380" s="30">
        <f>(Fuentes!D1791/Fuentes!D$47)*100000</f>
        <v>5.0589455690339923E-2</v>
      </c>
      <c r="E380" s="35">
        <f>(Fuentes!E1791/Fuentes!E$47)*100000</f>
        <v>0.1740241162620316</v>
      </c>
      <c r="F380" s="28">
        <f>(Fuentes!F1791/Fuentes!F$47)*100000</f>
        <v>0.22024248697816295</v>
      </c>
      <c r="G380" s="28">
        <f>(Fuentes!G1791/Fuentes!G$47)*100000</f>
        <v>0.12042902599653213</v>
      </c>
      <c r="H380" s="28">
        <f>(Fuentes!H1791/Fuentes!H$47)*100000</f>
        <v>2.3723396583071741E-2</v>
      </c>
      <c r="I380" s="28">
        <f>(Fuentes!I1791/Fuentes!I$47)*100000</f>
        <v>4.6743650342537468E-2</v>
      </c>
      <c r="J380" s="28">
        <f>(Fuentes!J1791/Fuentes!J$47)*100000</f>
        <v>0</v>
      </c>
      <c r="K380" s="28">
        <f>(Fuentes!K1791/Fuentes!K$47)*100000</f>
        <v>2.2706166313585782E-2</v>
      </c>
      <c r="L380" s="28">
        <f>(Fuentes!L1791/Fuentes!L$47)*100000</f>
        <v>2.237468331432604E-2</v>
      </c>
      <c r="M380" s="28">
        <f>(Fuentes!M1791/Fuentes!M$47)*100000</f>
        <v>4.4112191418678955E-2</v>
      </c>
      <c r="N380" s="36">
        <f>(Fuentes!N1791/Fuentes!N$47)*100000</f>
        <v>2.1776306376951781E-2</v>
      </c>
      <c r="O380" s="28">
        <f>(Fuentes!O1791/Fuentes!O$47)*100000</f>
        <v>2.1494046901299982E-2</v>
      </c>
      <c r="P380" s="28">
        <f>(Fuentes!P1791/Fuentes!P$47)*100000</f>
        <v>2.1217169612599944E-2</v>
      </c>
      <c r="Q380" s="28">
        <f>(Fuentes!Q1791/Fuentes!Q$47)*100000</f>
        <v>6.2851984205715389E-2</v>
      </c>
      <c r="R380" s="28">
        <f>(Fuentes!R1791/Fuentes!R$47)*100000</f>
        <v>0</v>
      </c>
      <c r="S380" s="28">
        <f>(Fuentes!S1791/Fuentes!S$47)*100000</f>
        <v>2.0448342171106821E-2</v>
      </c>
      <c r="T380" s="28">
        <f>(Fuentes!T1791/Fuentes!T$47)*100000</f>
        <v>4.0424612039945178E-2</v>
      </c>
      <c r="U380" s="28">
        <f>(Fuentes!U1791/Fuentes!U$47)*100000</f>
        <v>5.9959311611140681E-2</v>
      </c>
      <c r="V380" s="28">
        <f>(Fuentes!V1791/Fuentes!V$47)*100000</f>
        <v>1.9770664248846232E-2</v>
      </c>
    </row>
    <row r="381" spans="1:22" s="14" customFormat="1" ht="12.75" x14ac:dyDescent="0.2">
      <c r="A381" s="28" t="s">
        <v>3198</v>
      </c>
      <c r="B381" s="29" t="s">
        <v>3367</v>
      </c>
      <c r="C381" s="29">
        <f>(Fuentes!C1792/Fuentes!C$47)*100000</f>
        <v>0</v>
      </c>
      <c r="D381" s="30">
        <f>(Fuentes!D1792/Fuentes!D$47)*100000</f>
        <v>0</v>
      </c>
      <c r="E381" s="35">
        <f>(Fuentes!E1792/Fuentes!E$47)*100000</f>
        <v>0</v>
      </c>
      <c r="F381" s="28">
        <f>(Fuentes!F1792/Fuentes!F$47)*100000</f>
        <v>0</v>
      </c>
      <c r="G381" s="28">
        <f>(Fuentes!G1792/Fuentes!G$47)*100000</f>
        <v>0</v>
      </c>
      <c r="H381" s="36">
        <f>(Fuentes!H1792/Fuentes!H$47)*100000</f>
        <v>0</v>
      </c>
      <c r="I381" s="28">
        <f>(Fuentes!I1792/Fuentes!I$47)*100000</f>
        <v>0</v>
      </c>
      <c r="J381" s="28">
        <f>(Fuentes!J1792/Fuentes!J$47)*100000</f>
        <v>0.11519702146581298</v>
      </c>
      <c r="K381" s="28">
        <f>(Fuentes!K1792/Fuentes!K$47)*100000</f>
        <v>0</v>
      </c>
      <c r="L381" s="28">
        <f>(Fuentes!L1792/Fuentes!L$47)*100000</f>
        <v>0</v>
      </c>
      <c r="M381" s="28">
        <f>(Fuentes!M1792/Fuentes!M$47)*100000</f>
        <v>6.6168287128018421E-2</v>
      </c>
      <c r="N381" s="28">
        <f>(Fuentes!N1792/Fuentes!N$47)*100000</f>
        <v>0</v>
      </c>
      <c r="O381" s="28">
        <f>(Fuentes!O1792/Fuentes!O$47)*100000</f>
        <v>0</v>
      </c>
      <c r="P381" s="28">
        <f>(Fuentes!P1792/Fuentes!P$47)*100000</f>
        <v>0</v>
      </c>
      <c r="Q381" s="28">
        <f>(Fuentes!Q1792/Fuentes!Q$47)*100000</f>
        <v>2.095066140190513E-2</v>
      </c>
      <c r="R381" s="28">
        <f>(Fuentes!R1792/Fuentes!R$47)*100000</f>
        <v>0</v>
      </c>
      <c r="S381" s="28">
        <f>(Fuentes!S1792/Fuentes!S$47)*100000</f>
        <v>6.1345026513320453E-2</v>
      </c>
      <c r="T381" s="28">
        <f>(Fuentes!T1792/Fuentes!T$47)*100000</f>
        <v>0</v>
      </c>
      <c r="U381" s="28">
        <f>(Fuentes!U1792/Fuentes!U$47)*100000</f>
        <v>0</v>
      </c>
      <c r="V381" s="28">
        <f>(Fuentes!V1792/Fuentes!V$47)*100000</f>
        <v>0</v>
      </c>
    </row>
    <row r="382" spans="1:22" s="14" customFormat="1" ht="12.75" x14ac:dyDescent="0.2">
      <c r="A382" s="28" t="s">
        <v>3198</v>
      </c>
      <c r="B382" s="29" t="s">
        <v>3368</v>
      </c>
      <c r="C382" s="29">
        <f>(Fuentes!C1793/Fuentes!C$47)*100000</f>
        <v>0.43901001691738017</v>
      </c>
      <c r="D382" s="30">
        <f>(Fuentes!D1793/Fuentes!D$47)*100000</f>
        <v>0.60707346828407893</v>
      </c>
      <c r="E382" s="35">
        <f>(Fuentes!E1793/Fuentes!E$47)*100000</f>
        <v>0.39776940859892934</v>
      </c>
      <c r="F382" s="28">
        <f>(Fuentes!F1793/Fuentes!F$47)*100000</f>
        <v>0.31812803674623535</v>
      </c>
      <c r="G382" s="28">
        <f>(Fuentes!G1793/Fuentes!G$47)*100000</f>
        <v>0.2890296623916771</v>
      </c>
      <c r="H382" s="28">
        <f>(Fuentes!H1793/Fuentes!H$47)*100000</f>
        <v>0.37957434532914786</v>
      </c>
      <c r="I382" s="28">
        <f>(Fuentes!I1793/Fuentes!I$47)*100000</f>
        <v>0.37394920274029975</v>
      </c>
      <c r="J382" s="28">
        <f>(Fuentes!J1793/Fuentes!J$47)*100000</f>
        <v>0.13823642575897557</v>
      </c>
      <c r="K382" s="28">
        <f>(Fuentes!K1793/Fuentes!K$47)*100000</f>
        <v>0.31788632839020092</v>
      </c>
      <c r="L382" s="28">
        <f>(Fuentes!L1793/Fuentes!L$47)*100000</f>
        <v>0.29087088308623854</v>
      </c>
      <c r="M382" s="28">
        <f>(Fuentes!M1793/Fuentes!M$47)*100000</f>
        <v>0.33084143564009216</v>
      </c>
      <c r="N382" s="36">
        <f>(Fuentes!N1793/Fuentes!N$47)*100000</f>
        <v>0.32664459565427673</v>
      </c>
      <c r="O382" s="28">
        <f>(Fuentes!O1793/Fuentes!O$47)*100000</f>
        <v>0.25792856281559978</v>
      </c>
      <c r="P382" s="28">
        <f>(Fuentes!P1793/Fuentes!P$47)*100000</f>
        <v>0.1485201872881996</v>
      </c>
      <c r="Q382" s="28">
        <f>(Fuentes!Q1793/Fuentes!Q$47)*100000</f>
        <v>0.41901322803810254</v>
      </c>
      <c r="R382" s="28">
        <f>(Fuentes!R1793/Fuentes!R$47)*100000</f>
        <v>0.12416635228436081</v>
      </c>
      <c r="S382" s="28">
        <f>(Fuentes!S1793/Fuentes!S$47)*100000</f>
        <v>0.2044834217110682</v>
      </c>
      <c r="T382" s="28">
        <f>(Fuentes!T1793/Fuentes!T$47)*100000</f>
        <v>0.1819107541797533</v>
      </c>
      <c r="U382" s="28">
        <f>(Fuentes!U1793/Fuentes!U$47)*100000</f>
        <v>0.43970161848169836</v>
      </c>
      <c r="V382" s="28">
        <f>(Fuentes!V1793/Fuentes!V$47)*100000</f>
        <v>0.45472527772346338</v>
      </c>
    </row>
    <row r="383" spans="1:22" s="14" customFormat="1" ht="12.75" x14ac:dyDescent="0.2">
      <c r="A383" s="28" t="s">
        <v>3198</v>
      </c>
      <c r="B383" s="29" t="s">
        <v>3369</v>
      </c>
      <c r="C383" s="29">
        <f>(Fuentes!C1794/Fuentes!C$47)*100000</f>
        <v>5.1648237284397658E-2</v>
      </c>
      <c r="D383" s="30">
        <f>(Fuentes!D1794/Fuentes!D$47)*100000</f>
        <v>2.5294727845169961E-2</v>
      </c>
      <c r="E383" s="35">
        <f>(Fuentes!E1794/Fuentes!E$47)*100000</f>
        <v>7.4581764112299248E-2</v>
      </c>
      <c r="F383" s="28">
        <f>(Fuentes!F1794/Fuentes!F$47)*100000</f>
        <v>2.4471387442018107E-2</v>
      </c>
      <c r="G383" s="28">
        <f>(Fuentes!G1794/Fuentes!G$47)*100000</f>
        <v>0</v>
      </c>
      <c r="H383" s="36">
        <f>(Fuentes!H1794/Fuentes!H$47)*100000</f>
        <v>0</v>
      </c>
      <c r="I383" s="28">
        <f>(Fuentes!I1794/Fuentes!I$47)*100000</f>
        <v>0</v>
      </c>
      <c r="J383" s="28">
        <f>(Fuentes!J1794/Fuentes!J$47)*100000</f>
        <v>0</v>
      </c>
      <c r="K383" s="28">
        <f>(Fuentes!K1794/Fuentes!K$47)*100000</f>
        <v>0</v>
      </c>
      <c r="L383" s="28">
        <f>(Fuentes!L1794/Fuentes!L$47)*100000</f>
        <v>4.4749366628652081E-2</v>
      </c>
      <c r="M383" s="28">
        <f>(Fuentes!M1794/Fuentes!M$47)*100000</f>
        <v>0</v>
      </c>
      <c r="N383" s="28">
        <f>(Fuentes!N1794/Fuentes!N$47)*100000</f>
        <v>0.15243414463866248</v>
      </c>
      <c r="O383" s="28">
        <f>(Fuentes!O1794/Fuentes!O$47)*100000</f>
        <v>4.2988093802599964E-2</v>
      </c>
      <c r="P383" s="28">
        <f>(Fuentes!P1794/Fuentes!P$47)*100000</f>
        <v>2.1217169612599944E-2</v>
      </c>
      <c r="Q383" s="28">
        <f>(Fuentes!Q1794/Fuentes!Q$47)*100000</f>
        <v>0</v>
      </c>
      <c r="R383" s="28">
        <f>(Fuentes!R1794/Fuentes!R$47)*100000</f>
        <v>6.2083176142180403E-2</v>
      </c>
      <c r="S383" s="28">
        <f>(Fuentes!S1794/Fuentes!S$47)*100000</f>
        <v>3.0468029834949162</v>
      </c>
      <c r="T383" s="28">
        <f>(Fuentes!T1794/Fuentes!T$47)*100000</f>
        <v>1.8393198478175055</v>
      </c>
      <c r="U383" s="28">
        <f>(Fuentes!U1794/Fuentes!U$47)*100000</f>
        <v>1.1991862322228135</v>
      </c>
      <c r="V383" s="28">
        <f>(Fuentes!V1794/Fuentes!V$47)*100000</f>
        <v>1.1664691906819278</v>
      </c>
    </row>
    <row r="384" spans="1:22" s="14" customFormat="1" ht="12.75" x14ac:dyDescent="0.2">
      <c r="A384" s="28" t="s">
        <v>3198</v>
      </c>
      <c r="B384" s="29" t="s">
        <v>3370</v>
      </c>
      <c r="C384" s="29">
        <f>(Fuentes!C1795/Fuentes!C$47)*100000</f>
        <v>0.154944711853193</v>
      </c>
      <c r="D384" s="30">
        <f>(Fuentes!D1795/Fuentes!D$47)*100000</f>
        <v>0.32883146198720947</v>
      </c>
      <c r="E384" s="35">
        <f>(Fuentes!E1795/Fuentes!E$47)*100000</f>
        <v>0.29832705644919699</v>
      </c>
      <c r="F384" s="28">
        <f>(Fuentes!F1795/Fuentes!F$47)*100000</f>
        <v>0.36707081163027161</v>
      </c>
      <c r="G384" s="28">
        <f>(Fuentes!G1795/Fuentes!G$47)*100000</f>
        <v>0.24085805199306426</v>
      </c>
      <c r="H384" s="28">
        <f>(Fuentes!H1795/Fuentes!H$47)*100000</f>
        <v>0.16606377608150222</v>
      </c>
      <c r="I384" s="28">
        <f>(Fuentes!I1795/Fuentes!I$47)*100000</f>
        <v>0.18697460137014987</v>
      </c>
      <c r="J384" s="28">
        <f>(Fuentes!J1795/Fuentes!J$47)*100000</f>
        <v>0.13823642575897557</v>
      </c>
      <c r="K384" s="28">
        <f>(Fuentes!K1795/Fuentes!K$47)*100000</f>
        <v>6.8118498940757347E-2</v>
      </c>
      <c r="L384" s="28">
        <f>(Fuentes!L1795/Fuentes!L$47)*100000</f>
        <v>0.13424809988595623</v>
      </c>
      <c r="M384" s="28">
        <f>(Fuentes!M1795/Fuentes!M$47)*100000</f>
        <v>6.6168287128018421E-2</v>
      </c>
      <c r="N384" s="36">
        <f>(Fuentes!N1795/Fuentes!N$47)*100000</f>
        <v>0.10888153188475892</v>
      </c>
      <c r="O384" s="28">
        <f>(Fuentes!O1795/Fuentes!O$47)*100000</f>
        <v>4.2988093802599964E-2</v>
      </c>
      <c r="P384" s="28">
        <f>(Fuentes!P1795/Fuentes!P$47)*100000</f>
        <v>8.4868678450399776E-2</v>
      </c>
      <c r="Q384" s="28">
        <f>(Fuentes!Q1795/Fuentes!Q$47)*100000</f>
        <v>0.10475330700952563</v>
      </c>
      <c r="R384" s="28">
        <f>(Fuentes!R1795/Fuentes!R$47)*100000</f>
        <v>0.12416635228436081</v>
      </c>
      <c r="S384" s="28">
        <f>(Fuentes!S1795/Fuentes!S$47)*100000</f>
        <v>0.18403507953996137</v>
      </c>
      <c r="T384" s="28">
        <f>(Fuentes!T1795/Fuentes!T$47)*100000</f>
        <v>0.14148614213980812</v>
      </c>
      <c r="U384" s="28">
        <f>(Fuentes!U1795/Fuentes!U$47)*100000</f>
        <v>0.19986437203713561</v>
      </c>
      <c r="V384" s="28">
        <f>(Fuentes!V1795/Fuentes!V$47)*100000</f>
        <v>0.2965599637326935</v>
      </c>
    </row>
    <row r="385" spans="1:22" s="14" customFormat="1" ht="12.75" x14ac:dyDescent="0.2">
      <c r="A385" s="28" t="s">
        <v>3198</v>
      </c>
      <c r="B385" s="29" t="s">
        <v>3371</v>
      </c>
      <c r="C385" s="29">
        <f>(Fuentes!C1796/Fuentes!C$47)*100000</f>
        <v>5.8362508131369362</v>
      </c>
      <c r="D385" s="30">
        <f>(Fuentes!D1796/Fuentes!D$47)*100000</f>
        <v>5.3877770310212014</v>
      </c>
      <c r="E385" s="35">
        <f>(Fuentes!E1796/Fuentes!E$47)*100000</f>
        <v>7.33387347104276</v>
      </c>
      <c r="F385" s="28">
        <f>(Fuentes!F1796/Fuentes!F$47)*100000</f>
        <v>8.0755578558659753</v>
      </c>
      <c r="G385" s="28">
        <f>(Fuentes!G1796/Fuentes!G$47)*100000</f>
        <v>8.1650879625648791</v>
      </c>
      <c r="H385" s="36">
        <f>(Fuentes!H1796/Fuentes!H$47)*100000</f>
        <v>9.109784287899549</v>
      </c>
      <c r="I385" s="28">
        <f>(Fuentes!I1796/Fuentes!I$47)*100000</f>
        <v>11.008129655667574</v>
      </c>
      <c r="J385" s="28">
        <f>(Fuentes!J1796/Fuentes!J$47)*100000</f>
        <v>12.210884275376175</v>
      </c>
      <c r="K385" s="28">
        <f>(Fuentes!K1796/Fuentes!K$47)*100000</f>
        <v>14.009704615482427</v>
      </c>
      <c r="L385" s="28">
        <f>(Fuentes!L1796/Fuentes!L$47)*100000</f>
        <v>122.12102152959153</v>
      </c>
      <c r="M385" s="28">
        <f>(Fuentes!M1796/Fuentes!M$47)*100000</f>
        <v>94.863267645869101</v>
      </c>
      <c r="N385" s="28">
        <f>(Fuentes!N1796/Fuentes!N$47)*100000</f>
        <v>86.778580912152862</v>
      </c>
      <c r="O385" s="28">
        <f>(Fuentes!O1796/Fuentes!O$47)*100000</f>
        <v>89.759139859828721</v>
      </c>
      <c r="P385" s="28">
        <f>(Fuentes!P1796/Fuentes!P$47)*100000</f>
        <v>87.648127669650364</v>
      </c>
      <c r="Q385" s="28">
        <f>(Fuentes!Q1796/Fuentes!Q$47)*100000</f>
        <v>81.330467562195707</v>
      </c>
      <c r="R385" s="28">
        <f>(Fuentes!R1796/Fuentes!R$47)*100000</f>
        <v>81.37034953035112</v>
      </c>
      <c r="S385" s="28">
        <f>(Fuentes!S1796/Fuentes!S$47)*100000</f>
        <v>77.3560784332971</v>
      </c>
      <c r="T385" s="28">
        <f>(Fuentes!T1796/Fuentes!T$47)*100000</f>
        <v>75.876996798977103</v>
      </c>
      <c r="U385" s="28">
        <f>(Fuentes!U1796/Fuentes!U$47)*100000</f>
        <v>77.647308536427175</v>
      </c>
      <c r="V385" s="28">
        <f>(Fuentes!V1796/Fuentes!V$47)*100000</f>
        <v>73.744577648196454</v>
      </c>
    </row>
    <row r="386" spans="1:22" s="14" customFormat="1" ht="12.75" x14ac:dyDescent="0.2">
      <c r="A386" s="28" t="s">
        <v>3198</v>
      </c>
      <c r="B386" s="29" t="s">
        <v>3372</v>
      </c>
      <c r="C386" s="29">
        <f>(Fuentes!C1797/Fuentes!C$47)*100000</f>
        <v>0</v>
      </c>
      <c r="D386" s="30">
        <f>(Fuentes!D1797/Fuentes!D$47)*100000</f>
        <v>0</v>
      </c>
      <c r="E386" s="35">
        <f>(Fuentes!E1797/Fuentes!E$47)*100000</f>
        <v>0</v>
      </c>
      <c r="F386" s="28">
        <f>(Fuentes!F1797/Fuentes!F$47)*100000</f>
        <v>0</v>
      </c>
      <c r="G386" s="28">
        <f>(Fuentes!G1797/Fuentes!G$47)*100000</f>
        <v>0</v>
      </c>
      <c r="H386" s="28">
        <f>(Fuentes!H1797/Fuentes!H$47)*100000</f>
        <v>0</v>
      </c>
      <c r="I386" s="28">
        <f>(Fuentes!I1797/Fuentes!I$47)*100000</f>
        <v>0</v>
      </c>
      <c r="J386" s="28">
        <f>(Fuentes!J1797/Fuentes!J$47)*100000</f>
        <v>0</v>
      </c>
      <c r="K386" s="28">
        <f>(Fuentes!K1797/Fuentes!K$47)*100000</f>
        <v>2.2706166313585782E-2</v>
      </c>
      <c r="L386" s="28">
        <f>(Fuentes!L1797/Fuentes!L$47)*100000</f>
        <v>0</v>
      </c>
      <c r="M386" s="28">
        <f>(Fuentes!M1797/Fuentes!M$47)*100000</f>
        <v>0</v>
      </c>
      <c r="N386" s="36">
        <f>(Fuentes!N1797/Fuentes!N$47)*100000</f>
        <v>0</v>
      </c>
      <c r="O386" s="28">
        <f>(Fuentes!O1797/Fuentes!O$47)*100000</f>
        <v>0</v>
      </c>
      <c r="P386" s="28">
        <f>(Fuentes!P1797/Fuentes!P$47)*100000</f>
        <v>0</v>
      </c>
      <c r="Q386" s="28">
        <f>(Fuentes!Q1797/Fuentes!Q$47)*100000</f>
        <v>0</v>
      </c>
      <c r="R386" s="28">
        <f>(Fuentes!R1797/Fuentes!R$47)*100000</f>
        <v>0</v>
      </c>
      <c r="S386" s="28">
        <f>(Fuentes!S1797/Fuentes!S$47)*100000</f>
        <v>0</v>
      </c>
      <c r="T386" s="28">
        <f>(Fuentes!T1797/Fuentes!T$47)*100000</f>
        <v>0</v>
      </c>
      <c r="U386" s="28">
        <f>(Fuentes!U1797/Fuentes!U$47)*100000</f>
        <v>0</v>
      </c>
      <c r="V386" s="28">
        <f>(Fuentes!V1797/Fuentes!V$47)*100000</f>
        <v>0</v>
      </c>
    </row>
    <row r="387" spans="1:22" s="14" customFormat="1" ht="12.75" x14ac:dyDescent="0.2">
      <c r="A387" s="28" t="s">
        <v>3198</v>
      </c>
      <c r="B387" s="29" t="s">
        <v>3373</v>
      </c>
      <c r="C387" s="29">
        <f>(Fuentes!C1798/Fuentes!C$47)*100000</f>
        <v>0</v>
      </c>
      <c r="D387" s="30">
        <f>(Fuentes!D1798/Fuentes!D$47)*100000</f>
        <v>0</v>
      </c>
      <c r="E387" s="35">
        <f>(Fuentes!E1798/Fuentes!E$47)*100000</f>
        <v>0</v>
      </c>
      <c r="F387" s="28">
        <f>(Fuentes!F1798/Fuentes!F$47)*100000</f>
        <v>1.3948690841950322</v>
      </c>
      <c r="G387" s="28">
        <f>(Fuentes!G1798/Fuentes!G$47)*100000</f>
        <v>2.7216959875216258</v>
      </c>
      <c r="H387" s="36">
        <f>(Fuentes!H1798/Fuentes!H$47)*100000</f>
        <v>2.7519140036363221</v>
      </c>
      <c r="I387" s="28">
        <f>(Fuentes!I1798/Fuentes!I$47)*100000</f>
        <v>5.1184297125078535</v>
      </c>
      <c r="J387" s="28">
        <f>(Fuentes!J1798/Fuentes!J$47)*100000</f>
        <v>5.805929881876974</v>
      </c>
      <c r="K387" s="28">
        <f>(Fuentes!K1798/Fuentes!K$47)*100000</f>
        <v>8.4239877023403249</v>
      </c>
      <c r="L387" s="28">
        <f>(Fuentes!L1798/Fuentes!L$47)*100000</f>
        <v>7.3836454937275935</v>
      </c>
      <c r="M387" s="28">
        <f>(Fuentes!M1798/Fuentes!M$47)*100000</f>
        <v>7.0138384355699541</v>
      </c>
      <c r="N387" s="28">
        <f>(Fuentes!N1798/Fuentes!N$47)*100000</f>
        <v>8.013680746718256</v>
      </c>
      <c r="O387" s="28">
        <f>(Fuentes!O1798/Fuentes!O$47)*100000</f>
        <v>8.0817616348887924</v>
      </c>
      <c r="P387" s="28">
        <f>(Fuentes!P1798/Fuentes!P$47)*100000</f>
        <v>10.332761601336172</v>
      </c>
      <c r="Q387" s="28">
        <f>(Fuentes!Q1798/Fuentes!Q$47)*100000</f>
        <v>10.768639960579236</v>
      </c>
      <c r="R387" s="28">
        <f>(Fuentes!R1798/Fuentes!R$47)*100000</f>
        <v>9.4780315577062098</v>
      </c>
      <c r="S387" s="28">
        <f>(Fuentes!S1798/Fuentes!S$47)*100000</f>
        <v>8.2815785792982624</v>
      </c>
      <c r="T387" s="28">
        <f>(Fuentes!T1798/Fuentes!T$47)*100000</f>
        <v>9.9040299497865671</v>
      </c>
      <c r="U387" s="28">
        <f>(Fuentes!U1798/Fuentes!U$47)*100000</f>
        <v>6.3157141563734847</v>
      </c>
      <c r="V387" s="28">
        <f>(Fuentes!V1798/Fuentes!V$47)*100000</f>
        <v>9.6480841534369617</v>
      </c>
    </row>
    <row r="388" spans="1:22" s="14" customFormat="1" ht="12.75" x14ac:dyDescent="0.2">
      <c r="A388" s="28" t="s">
        <v>3198</v>
      </c>
      <c r="B388" s="29" t="s">
        <v>3374</v>
      </c>
      <c r="C388" s="29">
        <f>(Fuentes!C1799/Fuentes!C$47)*100000</f>
        <v>0</v>
      </c>
      <c r="D388" s="30">
        <f>(Fuentes!D1799/Fuentes!D$47)*100000</f>
        <v>0</v>
      </c>
      <c r="E388" s="35">
        <f>(Fuentes!E1799/Fuentes!E$47)*100000</f>
        <v>0</v>
      </c>
      <c r="F388" s="28">
        <f>(Fuentes!F1799/Fuentes!F$47)*100000</f>
        <v>0</v>
      </c>
      <c r="G388" s="28">
        <f>(Fuentes!G1799/Fuentes!G$47)*100000</f>
        <v>0</v>
      </c>
      <c r="H388" s="28">
        <f>(Fuentes!H1799/Fuentes!H$47)*100000</f>
        <v>0</v>
      </c>
      <c r="I388" s="28">
        <f>(Fuentes!I1799/Fuentes!I$47)*100000</f>
        <v>0.16360277619888117</v>
      </c>
      <c r="J388" s="28">
        <f>(Fuentes!J1799/Fuentes!J$47)*100000</f>
        <v>0.29951225581111374</v>
      </c>
      <c r="K388" s="28">
        <f>(Fuentes!K1799/Fuentes!K$47)*100000</f>
        <v>0.52224182521247298</v>
      </c>
      <c r="L388" s="28">
        <f>(Fuentes!L1799/Fuentes!L$47)*100000</f>
        <v>0.13424809988595623</v>
      </c>
      <c r="M388" s="28">
        <f>(Fuentes!M1799/Fuentes!M$47)*100000</f>
        <v>0.19850486138405529</v>
      </c>
      <c r="N388" s="36">
        <f>(Fuentes!N1799/Fuentes!N$47)*100000</f>
        <v>0.17421045101561425</v>
      </c>
      <c r="O388" s="28">
        <f>(Fuentes!O1799/Fuentes!O$47)*100000</f>
        <v>0.1074702345064999</v>
      </c>
      <c r="P388" s="28">
        <f>(Fuentes!P1799/Fuentes!P$47)*100000</f>
        <v>0.23338886573859938</v>
      </c>
      <c r="Q388" s="28">
        <f>(Fuentes!Q1799/Fuentes!Q$47)*100000</f>
        <v>6.2851984205715389E-2</v>
      </c>
      <c r="R388" s="28">
        <f>(Fuentes!R1799/Fuentes!R$47)*100000</f>
        <v>4.138878409478694E-2</v>
      </c>
      <c r="S388" s="28">
        <f>(Fuentes!S1799/Fuentes!S$47)*100000</f>
        <v>0.22493176388217503</v>
      </c>
      <c r="T388" s="28">
        <f>(Fuentes!T1799/Fuentes!T$47)*100000</f>
        <v>2.0212306019972589E-2</v>
      </c>
      <c r="U388" s="28">
        <f>(Fuentes!U1799/Fuentes!U$47)*100000</f>
        <v>0</v>
      </c>
      <c r="V388" s="28">
        <f>(Fuentes!V1799/Fuentes!V$47)*100000</f>
        <v>0.19770664248846231</v>
      </c>
    </row>
    <row r="389" spans="1:22" s="14" customFormat="1" ht="12.75" x14ac:dyDescent="0.2">
      <c r="A389" s="28" t="s">
        <v>3198</v>
      </c>
      <c r="B389" s="29" t="s">
        <v>3375</v>
      </c>
      <c r="C389" s="29">
        <f>(Fuentes!C1800/Fuentes!C$47)*100000</f>
        <v>0</v>
      </c>
      <c r="D389" s="30">
        <f>(Fuentes!D1800/Fuentes!D$47)*100000</f>
        <v>0</v>
      </c>
      <c r="E389" s="35">
        <f>(Fuentes!E1800/Fuentes!E$47)*100000</f>
        <v>0</v>
      </c>
      <c r="F389" s="28">
        <f>(Fuentes!F1800/Fuentes!F$47)*100000</f>
        <v>0</v>
      </c>
      <c r="G389" s="28">
        <f>(Fuentes!G1800/Fuentes!G$47)*100000</f>
        <v>0</v>
      </c>
      <c r="H389" s="36">
        <f>(Fuentes!H1800/Fuentes!H$47)*100000</f>
        <v>0</v>
      </c>
      <c r="I389" s="28">
        <f>(Fuentes!I1800/Fuentes!I$47)*100000</f>
        <v>0</v>
      </c>
      <c r="J389" s="28">
        <f>(Fuentes!J1800/Fuentes!J$47)*100000</f>
        <v>0</v>
      </c>
      <c r="K389" s="28">
        <f>(Fuentes!K1800/Fuentes!K$47)*100000</f>
        <v>0</v>
      </c>
      <c r="L389" s="28">
        <f>(Fuentes!L1800/Fuentes!L$47)*100000</f>
        <v>0</v>
      </c>
      <c r="M389" s="28">
        <f>(Fuentes!M1800/Fuentes!M$47)*100000</f>
        <v>6.6168287128018421E-2</v>
      </c>
      <c r="N389" s="28">
        <f>(Fuentes!N1800/Fuentes!N$47)*100000</f>
        <v>2.1776306376951781E-2</v>
      </c>
      <c r="O389" s="28">
        <f>(Fuentes!O1800/Fuentes!O$47)*100000</f>
        <v>0</v>
      </c>
      <c r="P389" s="28">
        <f>(Fuentes!P1800/Fuentes!P$47)*100000</f>
        <v>2.1217169612599944E-2</v>
      </c>
      <c r="Q389" s="28">
        <f>(Fuentes!Q1800/Fuentes!Q$47)*100000</f>
        <v>0</v>
      </c>
      <c r="R389" s="28">
        <f>(Fuentes!R1800/Fuentes!R$47)*100000</f>
        <v>0</v>
      </c>
      <c r="S389" s="28">
        <f>(Fuentes!S1800/Fuentes!S$47)*100000</f>
        <v>0</v>
      </c>
      <c r="T389" s="28">
        <f>(Fuentes!T1800/Fuentes!T$47)*100000</f>
        <v>0</v>
      </c>
      <c r="U389" s="28">
        <f>(Fuentes!U1800/Fuentes!U$47)*100000</f>
        <v>1.9986437203713559E-2</v>
      </c>
      <c r="V389" s="28">
        <f>(Fuentes!V1800/Fuentes!V$47)*100000</f>
        <v>0</v>
      </c>
    </row>
    <row r="390" spans="1:22" s="14" customFormat="1" ht="12.75" x14ac:dyDescent="0.2">
      <c r="A390" s="28" t="s">
        <v>3198</v>
      </c>
      <c r="B390" s="29" t="s">
        <v>3376</v>
      </c>
      <c r="C390" s="29">
        <f>(Fuentes!C1801/Fuentes!C$47)*100000</f>
        <v>0</v>
      </c>
      <c r="D390" s="30">
        <f>(Fuentes!D1801/Fuentes!D$47)*100000</f>
        <v>0</v>
      </c>
      <c r="E390" s="35">
        <f>(Fuentes!E1801/Fuentes!E$47)*100000</f>
        <v>0</v>
      </c>
      <c r="F390" s="28">
        <f>(Fuentes!F1801/Fuentes!F$47)*100000</f>
        <v>0</v>
      </c>
      <c r="G390" s="28">
        <f>(Fuentes!G1801/Fuentes!G$47)*100000</f>
        <v>0</v>
      </c>
      <c r="H390" s="28">
        <f>(Fuentes!H1801/Fuentes!H$47)*100000</f>
        <v>0</v>
      </c>
      <c r="I390" s="28">
        <f>(Fuentes!I1801/Fuentes!I$47)*100000</f>
        <v>7.0115475513806202E-2</v>
      </c>
      <c r="J390" s="28">
        <f>(Fuentes!J1801/Fuentes!J$47)*100000</f>
        <v>2.3039404293162594E-2</v>
      </c>
      <c r="K390" s="28">
        <f>(Fuentes!K1801/Fuentes!K$47)*100000</f>
        <v>0</v>
      </c>
      <c r="L390" s="28">
        <f>(Fuentes!L1801/Fuentes!L$47)*100000</f>
        <v>2.237468331432604E-2</v>
      </c>
      <c r="M390" s="28">
        <f>(Fuentes!M1801/Fuentes!M$47)*100000</f>
        <v>0.13233657425603684</v>
      </c>
      <c r="N390" s="36">
        <f>(Fuentes!N1801/Fuentes!N$47)*100000</f>
        <v>4.3552612753903562E-2</v>
      </c>
      <c r="O390" s="28">
        <f>(Fuentes!O1801/Fuentes!O$47)*100000</f>
        <v>6.4482140703899946E-2</v>
      </c>
      <c r="P390" s="28">
        <f>(Fuentes!P1801/Fuentes!P$47)*100000</f>
        <v>0</v>
      </c>
      <c r="Q390" s="28">
        <f>(Fuentes!Q1801/Fuentes!Q$47)*100000</f>
        <v>6.2851984205715389E-2</v>
      </c>
      <c r="R390" s="28">
        <f>(Fuentes!R1801/Fuentes!R$47)*100000</f>
        <v>0</v>
      </c>
      <c r="S390" s="28">
        <f>(Fuentes!S1801/Fuentes!S$47)*100000</f>
        <v>6.1345026513320453E-2</v>
      </c>
      <c r="T390" s="28">
        <f>(Fuentes!T1801/Fuentes!T$47)*100000</f>
        <v>6.0636918059917756E-2</v>
      </c>
      <c r="U390" s="28">
        <f>(Fuentes!U1801/Fuentes!U$47)*100000</f>
        <v>0</v>
      </c>
      <c r="V390" s="28">
        <f>(Fuentes!V1801/Fuentes!V$47)*100000</f>
        <v>3.9541328497692464E-2</v>
      </c>
    </row>
    <row r="391" spans="1:22" s="14" customFormat="1" ht="12.75" x14ac:dyDescent="0.2">
      <c r="A391" s="28" t="s">
        <v>3198</v>
      </c>
      <c r="B391" s="29" t="s">
        <v>3377</v>
      </c>
      <c r="C391" s="29">
        <f>(Fuentes!C1802/Fuentes!C$47)*100000</f>
        <v>0</v>
      </c>
      <c r="D391" s="30">
        <f>(Fuentes!D1802/Fuentes!D$47)*100000</f>
        <v>0</v>
      </c>
      <c r="E391" s="35">
        <f>(Fuentes!E1802/Fuentes!E$47)*100000</f>
        <v>0</v>
      </c>
      <c r="F391" s="28">
        <f>(Fuentes!F1802/Fuentes!F$47)*100000</f>
        <v>0</v>
      </c>
      <c r="G391" s="28">
        <f>(Fuentes!G1802/Fuentes!G$47)*100000</f>
        <v>0</v>
      </c>
      <c r="H391" s="36">
        <f>(Fuentes!H1802/Fuentes!H$47)*100000</f>
        <v>0</v>
      </c>
      <c r="I391" s="28">
        <f>(Fuentes!I1802/Fuentes!I$47)*100000</f>
        <v>0</v>
      </c>
      <c r="J391" s="28">
        <f>(Fuentes!J1802/Fuentes!J$47)*100000</f>
        <v>0</v>
      </c>
      <c r="K391" s="28">
        <f>(Fuentes!K1802/Fuentes!K$47)*100000</f>
        <v>0</v>
      </c>
      <c r="L391" s="28">
        <f>(Fuentes!L1802/Fuentes!L$47)*100000</f>
        <v>107.89072294168015</v>
      </c>
      <c r="M391" s="28">
        <f>(Fuentes!M1802/Fuentes!M$47)*100000</f>
        <v>81.342880976044</v>
      </c>
      <c r="N391" s="28">
        <f>(Fuentes!N1802/Fuentes!N$47)*100000</f>
        <v>73.081284201050181</v>
      </c>
      <c r="O391" s="28">
        <f>(Fuentes!O1802/Fuentes!O$47)*100000</f>
        <v>74.949741544833032</v>
      </c>
      <c r="P391" s="28">
        <f>(Fuentes!P1802/Fuentes!P$47)*100000</f>
        <v>70.822912166858615</v>
      </c>
      <c r="Q391" s="28">
        <f>(Fuentes!Q1802/Fuentes!Q$47)*100000</f>
        <v>64.088073228427788</v>
      </c>
      <c r="R391" s="28">
        <f>(Fuentes!R1802/Fuentes!R$47)*100000</f>
        <v>65.477056437952939</v>
      </c>
      <c r="S391" s="28">
        <f>(Fuentes!S1802/Fuentes!S$47)*100000</f>
        <v>63.512550783457783</v>
      </c>
      <c r="T391" s="28">
        <f>(Fuentes!T1802/Fuentes!T$47)*100000</f>
        <v>59.929487349218725</v>
      </c>
      <c r="U391" s="28">
        <f>(Fuentes!U1802/Fuentes!U$47)*100000</f>
        <v>60.818728410900363</v>
      </c>
      <c r="V391" s="28">
        <f>(Fuentes!V1802/Fuentes!V$47)*100000</f>
        <v>57.295384993156389</v>
      </c>
    </row>
    <row r="392" spans="1:22" s="14" customFormat="1" ht="12.75" x14ac:dyDescent="0.2">
      <c r="A392" s="28" t="s">
        <v>3198</v>
      </c>
      <c r="B392" s="29" t="s">
        <v>3378</v>
      </c>
      <c r="C392" s="29">
        <f>(Fuentes!C1803/Fuentes!C$47)*100000</f>
        <v>7.7472355926596501E-2</v>
      </c>
      <c r="D392" s="30">
        <f>(Fuentes!D1803/Fuentes!D$47)*100000</f>
        <v>5.0589455690339923E-2</v>
      </c>
      <c r="E392" s="35">
        <f>(Fuentes!E1803/Fuentes!E$47)*100000</f>
        <v>4.9721176074866168E-2</v>
      </c>
      <c r="F392" s="28">
        <f>(Fuentes!F1803/Fuentes!F$47)*100000</f>
        <v>0.31812803674623535</v>
      </c>
      <c r="G392" s="28">
        <f>(Fuentes!G1803/Fuentes!G$47)*100000</f>
        <v>0.16860063639514497</v>
      </c>
      <c r="H392" s="28">
        <f>(Fuentes!H1803/Fuentes!H$47)*100000</f>
        <v>0.35585094874607615</v>
      </c>
      <c r="I392" s="28">
        <f>(Fuentes!I1803/Fuentes!I$47)*100000</f>
        <v>0.1402309510276124</v>
      </c>
      <c r="J392" s="28">
        <f>(Fuentes!J1803/Fuentes!J$47)*100000</f>
        <v>0.11519702146581298</v>
      </c>
      <c r="K392" s="28">
        <f>(Fuentes!K1803/Fuentes!K$47)*100000</f>
        <v>6.8118498940757347E-2</v>
      </c>
      <c r="L392" s="28">
        <f>(Fuentes!L1803/Fuentes!L$47)*100000</f>
        <v>6.7124049942978117E-2</v>
      </c>
      <c r="M392" s="28">
        <f>(Fuentes!M1803/Fuentes!M$47)*100000</f>
        <v>2.2056095709339477E-2</v>
      </c>
      <c r="N392" s="36">
        <f>(Fuentes!N1803/Fuentes!N$47)*100000</f>
        <v>8.7105225507807124E-2</v>
      </c>
      <c r="O392" s="28">
        <f>(Fuentes!O1803/Fuentes!O$47)*100000</f>
        <v>0.12896428140779989</v>
      </c>
      <c r="P392" s="28">
        <f>(Fuentes!P1803/Fuentes!P$47)*100000</f>
        <v>2.1217169612599944E-2</v>
      </c>
      <c r="Q392" s="28">
        <f>(Fuentes!Q1803/Fuentes!Q$47)*100000</f>
        <v>2.095066140190513E-2</v>
      </c>
      <c r="R392" s="28">
        <f>(Fuentes!R1803/Fuentes!R$47)*100000</f>
        <v>0</v>
      </c>
      <c r="S392" s="28">
        <f>(Fuentes!S1803/Fuentes!S$47)*100000</f>
        <v>2.0448342171106821E-2</v>
      </c>
      <c r="T392" s="28">
        <f>(Fuentes!T1803/Fuentes!T$47)*100000</f>
        <v>0</v>
      </c>
      <c r="U392" s="28">
        <f>(Fuentes!U1803/Fuentes!U$47)*100000</f>
        <v>0</v>
      </c>
      <c r="V392" s="28">
        <f>(Fuentes!V1803/Fuentes!V$47)*100000</f>
        <v>1.9770664248846232E-2</v>
      </c>
    </row>
    <row r="393" spans="1:22" s="14" customFormat="1" ht="12.75" x14ac:dyDescent="0.2">
      <c r="A393" s="28" t="s">
        <v>3198</v>
      </c>
      <c r="B393" s="29" t="s">
        <v>3379</v>
      </c>
      <c r="C393" s="29">
        <f>(Fuentes!C1804/Fuentes!C$47)*100000</f>
        <v>0</v>
      </c>
      <c r="D393" s="30">
        <f>(Fuentes!D1804/Fuentes!D$47)*100000</f>
        <v>0</v>
      </c>
      <c r="E393" s="35">
        <f>(Fuentes!E1804/Fuentes!E$47)*100000</f>
        <v>0</v>
      </c>
      <c r="F393" s="28">
        <f>(Fuentes!F1804/Fuentes!F$47)*100000</f>
        <v>0</v>
      </c>
      <c r="G393" s="28">
        <f>(Fuentes!G1804/Fuentes!G$47)*100000</f>
        <v>0</v>
      </c>
      <c r="H393" s="36">
        <f>(Fuentes!H1804/Fuentes!H$47)*100000</f>
        <v>0</v>
      </c>
      <c r="I393" s="28">
        <f>(Fuentes!I1804/Fuentes!I$47)*100000</f>
        <v>2.3371825171268734E-2</v>
      </c>
      <c r="J393" s="28">
        <f>(Fuentes!J1804/Fuentes!J$47)*100000</f>
        <v>0</v>
      </c>
      <c r="K393" s="28">
        <f>(Fuentes!K1804/Fuentes!K$47)*100000</f>
        <v>2.2706166313585782E-2</v>
      </c>
      <c r="L393" s="28">
        <f>(Fuentes!L1804/Fuentes!L$47)*100000</f>
        <v>0</v>
      </c>
      <c r="M393" s="28">
        <f>(Fuentes!M1804/Fuentes!M$47)*100000</f>
        <v>0</v>
      </c>
      <c r="N393" s="28">
        <f>(Fuentes!N1804/Fuentes!N$47)*100000</f>
        <v>0</v>
      </c>
      <c r="O393" s="28">
        <f>(Fuentes!O1804/Fuentes!O$47)*100000</f>
        <v>0</v>
      </c>
      <c r="P393" s="28">
        <f>(Fuentes!P1804/Fuentes!P$47)*100000</f>
        <v>0</v>
      </c>
      <c r="Q393" s="28">
        <f>(Fuentes!Q1804/Fuentes!Q$47)*100000</f>
        <v>0</v>
      </c>
      <c r="R393" s="28">
        <f>(Fuentes!R1804/Fuentes!R$47)*100000</f>
        <v>2.069439204739347E-2</v>
      </c>
      <c r="S393" s="28">
        <f>(Fuentes!S1804/Fuentes!S$47)*100000</f>
        <v>0</v>
      </c>
      <c r="T393" s="28">
        <f>(Fuentes!T1804/Fuentes!T$47)*100000</f>
        <v>4.0424612039945178E-2</v>
      </c>
      <c r="U393" s="28">
        <f>(Fuentes!U1804/Fuentes!U$47)*100000</f>
        <v>0.15989149762970847</v>
      </c>
      <c r="V393" s="28">
        <f>(Fuentes!V1804/Fuentes!V$47)*100000</f>
        <v>5.9311992746538693E-2</v>
      </c>
    </row>
    <row r="394" spans="1:22" s="14" customFormat="1" ht="12.75" x14ac:dyDescent="0.2">
      <c r="A394" s="28" t="s">
        <v>3198</v>
      </c>
      <c r="B394" s="29" t="s">
        <v>3380</v>
      </c>
      <c r="C394" s="29">
        <f>(Fuentes!C1805/Fuentes!C$47)*100000</f>
        <v>2.5824118642198829E-2</v>
      </c>
      <c r="D394" s="30">
        <f>(Fuentes!D1805/Fuentes!D$47)*100000</f>
        <v>0.15176836707101973</v>
      </c>
      <c r="E394" s="35">
        <f>(Fuentes!E1805/Fuentes!E$47)*100000</f>
        <v>4.9721176074866168E-2</v>
      </c>
      <c r="F394" s="28">
        <f>(Fuentes!F1805/Fuentes!F$47)*100000</f>
        <v>0.12235693721009053</v>
      </c>
      <c r="G394" s="28">
        <f>(Fuentes!G1805/Fuentes!G$47)*100000</f>
        <v>4.8171610398612855E-2</v>
      </c>
      <c r="H394" s="28">
        <f>(Fuentes!H1805/Fuentes!H$47)*100000</f>
        <v>0</v>
      </c>
      <c r="I394" s="28">
        <f>(Fuentes!I1805/Fuentes!I$47)*100000</f>
        <v>0</v>
      </c>
      <c r="J394" s="28">
        <f>(Fuentes!J1805/Fuentes!J$47)*100000</f>
        <v>4.6078808586325189E-2</v>
      </c>
      <c r="K394" s="28">
        <f>(Fuentes!K1805/Fuentes!K$47)*100000</f>
        <v>2.2706166313585782E-2</v>
      </c>
      <c r="L394" s="28">
        <f>(Fuentes!L1805/Fuentes!L$47)*100000</f>
        <v>4.4749366628652081E-2</v>
      </c>
      <c r="M394" s="28">
        <f>(Fuentes!M1805/Fuentes!M$47)*100000</f>
        <v>2.2056095709339477E-2</v>
      </c>
      <c r="N394" s="36">
        <f>(Fuentes!N1805/Fuentes!N$47)*100000</f>
        <v>4.3552612753903562E-2</v>
      </c>
      <c r="O394" s="28">
        <f>(Fuentes!O1805/Fuentes!O$47)*100000</f>
        <v>2.1494046901299982E-2</v>
      </c>
      <c r="P394" s="28">
        <f>(Fuentes!P1805/Fuentes!P$47)*100000</f>
        <v>2.1217169612599944E-2</v>
      </c>
      <c r="Q394" s="28">
        <f>(Fuentes!Q1805/Fuentes!Q$47)*100000</f>
        <v>2.095066140190513E-2</v>
      </c>
      <c r="R394" s="28">
        <f>(Fuentes!R1805/Fuentes!R$47)*100000</f>
        <v>2.069439204739347E-2</v>
      </c>
      <c r="S394" s="28">
        <f>(Fuentes!S1805/Fuentes!S$47)*100000</f>
        <v>2.0448342171106821E-2</v>
      </c>
      <c r="T394" s="28">
        <f>(Fuentes!T1805/Fuentes!T$47)*100000</f>
        <v>4.0424612039945178E-2</v>
      </c>
      <c r="U394" s="28">
        <f>(Fuentes!U1805/Fuentes!U$47)*100000</f>
        <v>3.9972874407427118E-2</v>
      </c>
      <c r="V394" s="28">
        <f>(Fuentes!V1805/Fuentes!V$47)*100000</f>
        <v>5.9311992746538693E-2</v>
      </c>
    </row>
    <row r="395" spans="1:22" s="14" customFormat="1" ht="12.75" x14ac:dyDescent="0.2">
      <c r="A395" s="28" t="s">
        <v>3198</v>
      </c>
      <c r="B395" s="29" t="s">
        <v>3381</v>
      </c>
      <c r="C395" s="29">
        <f>(Fuentes!C1806/Fuentes!C$47)*100000</f>
        <v>1.0071406270457544</v>
      </c>
      <c r="D395" s="30">
        <f>(Fuentes!D1806/Fuentes!D$47)*100000</f>
        <v>0.15176836707101973</v>
      </c>
      <c r="E395" s="35">
        <f>(Fuentes!E1806/Fuentes!E$47)*100000</f>
        <v>1.1435870497219218</v>
      </c>
      <c r="F395" s="28">
        <f>(Fuentes!F1806/Fuentes!F$47)*100000</f>
        <v>0.31812803674623535</v>
      </c>
      <c r="G395" s="28">
        <f>(Fuentes!G1806/Fuentes!G$47)*100000</f>
        <v>0.19268644159445142</v>
      </c>
      <c r="H395" s="36">
        <f>(Fuentes!H1806/Fuentes!H$47)*100000</f>
        <v>4.7446793166143482E-2</v>
      </c>
      <c r="I395" s="28">
        <f>(Fuentes!I1806/Fuentes!I$47)*100000</f>
        <v>0.16360277619888117</v>
      </c>
      <c r="J395" s="28">
        <f>(Fuentes!J1806/Fuentes!J$47)*100000</f>
        <v>9.2157617172650377E-2</v>
      </c>
      <c r="K395" s="28">
        <f>(Fuentes!K1806/Fuentes!K$47)*100000</f>
        <v>2.2706166313585782E-2</v>
      </c>
      <c r="L395" s="28">
        <f>(Fuentes!L1806/Fuentes!L$47)*100000</f>
        <v>0.13424809988595623</v>
      </c>
      <c r="M395" s="28">
        <f>(Fuentes!M1806/Fuentes!M$47)*100000</f>
        <v>8.8224382837357909E-2</v>
      </c>
      <c r="N395" s="28">
        <f>(Fuentes!N1806/Fuentes!N$47)*100000</f>
        <v>0</v>
      </c>
      <c r="O395" s="28">
        <f>(Fuentes!O1806/Fuentes!O$47)*100000</f>
        <v>4.2988093802599964E-2</v>
      </c>
      <c r="P395" s="28">
        <f>(Fuentes!P1806/Fuentes!P$47)*100000</f>
        <v>0</v>
      </c>
      <c r="Q395" s="28">
        <f>(Fuentes!Q1806/Fuentes!Q$47)*100000</f>
        <v>0</v>
      </c>
      <c r="R395" s="28">
        <f>(Fuentes!R1806/Fuentes!R$47)*100000</f>
        <v>0</v>
      </c>
      <c r="S395" s="28">
        <f>(Fuentes!S1806/Fuentes!S$47)*100000</f>
        <v>2.0448342171106821E-2</v>
      </c>
      <c r="T395" s="28">
        <f>(Fuentes!T1806/Fuentes!T$47)*100000</f>
        <v>0</v>
      </c>
      <c r="U395" s="28">
        <f>(Fuentes!U1806/Fuentes!U$47)*100000</f>
        <v>0</v>
      </c>
      <c r="V395" s="28">
        <f>(Fuentes!V1806/Fuentes!V$47)*100000</f>
        <v>0</v>
      </c>
    </row>
    <row r="396" spans="1:22" s="14" customFormat="1" ht="12.75" x14ac:dyDescent="0.2">
      <c r="A396" s="28" t="s">
        <v>3198</v>
      </c>
      <c r="B396" s="29" t="s">
        <v>3382</v>
      </c>
      <c r="C396" s="29">
        <f>(Fuentes!C1807/Fuentes!C$47)*100000</f>
        <v>0</v>
      </c>
      <c r="D396" s="30">
        <f>(Fuentes!D1807/Fuentes!D$47)*100000</f>
        <v>0</v>
      </c>
      <c r="E396" s="35">
        <f>(Fuentes!E1807/Fuentes!E$47)*100000</f>
        <v>0</v>
      </c>
      <c r="F396" s="28">
        <f>(Fuentes!F1807/Fuentes!F$47)*100000</f>
        <v>0</v>
      </c>
      <c r="G396" s="28">
        <f>(Fuentes!G1807/Fuentes!G$47)*100000</f>
        <v>2.4085805199306427E-2</v>
      </c>
      <c r="H396" s="28">
        <f>(Fuentes!H1807/Fuentes!H$47)*100000</f>
        <v>2.3723396583071741E-2</v>
      </c>
      <c r="I396" s="28">
        <f>(Fuentes!I1807/Fuentes!I$47)*100000</f>
        <v>0.21034642654141861</v>
      </c>
      <c r="J396" s="28">
        <f>(Fuentes!J1807/Fuentes!J$47)*100000</f>
        <v>4.6078808586325189E-2</v>
      </c>
      <c r="K396" s="28">
        <f>(Fuentes!K1807/Fuentes!K$47)*100000</f>
        <v>4.5412332627171564E-2</v>
      </c>
      <c r="L396" s="28">
        <f>(Fuentes!L1807/Fuentes!L$47)*100000</f>
        <v>2.237468331432604E-2</v>
      </c>
      <c r="M396" s="28">
        <f>(Fuentes!M1807/Fuentes!M$47)*100000</f>
        <v>0</v>
      </c>
      <c r="N396" s="36">
        <f>(Fuentes!N1807/Fuentes!N$47)*100000</f>
        <v>0</v>
      </c>
      <c r="O396" s="28">
        <f>(Fuentes!O1807/Fuentes!O$47)*100000</f>
        <v>0</v>
      </c>
      <c r="P396" s="28">
        <f>(Fuentes!P1807/Fuentes!P$47)*100000</f>
        <v>0</v>
      </c>
      <c r="Q396" s="28">
        <f>(Fuentes!Q1807/Fuentes!Q$47)*100000</f>
        <v>0</v>
      </c>
      <c r="R396" s="28">
        <f>(Fuentes!R1807/Fuentes!R$47)*100000</f>
        <v>2.069439204739347E-2</v>
      </c>
      <c r="S396" s="28">
        <f>(Fuentes!S1807/Fuentes!S$47)*100000</f>
        <v>0</v>
      </c>
      <c r="T396" s="28">
        <f>(Fuentes!T1807/Fuentes!T$47)*100000</f>
        <v>0</v>
      </c>
      <c r="U396" s="28">
        <f>(Fuentes!U1807/Fuentes!U$47)*100000</f>
        <v>0</v>
      </c>
      <c r="V396" s="28">
        <f>(Fuentes!V1807/Fuentes!V$47)*100000</f>
        <v>1.9770664248846232E-2</v>
      </c>
    </row>
    <row r="397" spans="1:22" s="14" customFormat="1" ht="12.75" x14ac:dyDescent="0.2">
      <c r="A397" s="28" t="s">
        <v>3198</v>
      </c>
      <c r="B397" s="29" t="s">
        <v>3383</v>
      </c>
      <c r="C397" s="29">
        <f>(Fuentes!C1808/Fuentes!C$47)*100000</f>
        <v>0</v>
      </c>
      <c r="D397" s="30">
        <f>(Fuentes!D1808/Fuentes!D$47)*100000</f>
        <v>0</v>
      </c>
      <c r="E397" s="35">
        <f>(Fuentes!E1808/Fuentes!E$47)*100000</f>
        <v>0</v>
      </c>
      <c r="F397" s="28">
        <f>(Fuentes!F1808/Fuentes!F$47)*100000</f>
        <v>0</v>
      </c>
      <c r="G397" s="28">
        <f>(Fuentes!G1808/Fuentes!G$47)*100000</f>
        <v>0</v>
      </c>
      <c r="H397" s="36">
        <f>(Fuentes!H1808/Fuentes!H$47)*100000</f>
        <v>0</v>
      </c>
      <c r="I397" s="28">
        <f>(Fuentes!I1808/Fuentes!I$47)*100000</f>
        <v>0</v>
      </c>
      <c r="J397" s="28">
        <f>(Fuentes!J1808/Fuentes!J$47)*100000</f>
        <v>0.43774868157008939</v>
      </c>
      <c r="K397" s="28">
        <f>(Fuentes!K1808/Fuentes!K$47)*100000</f>
        <v>0.204355496822272</v>
      </c>
      <c r="L397" s="28">
        <f>(Fuentes!L1808/Fuentes!L$47)*100000</f>
        <v>0.98448606583034581</v>
      </c>
      <c r="M397" s="28">
        <f>(Fuentes!M1808/Fuentes!M$47)*100000</f>
        <v>1.0586925940482947</v>
      </c>
      <c r="N397" s="28">
        <f>(Fuentes!N1808/Fuentes!N$47)*100000</f>
        <v>0.26131567652342141</v>
      </c>
      <c r="O397" s="28">
        <f>(Fuentes!O1808/Fuentes!O$47)*100000</f>
        <v>0.49436307872989954</v>
      </c>
      <c r="P397" s="28">
        <f>(Fuentes!P1808/Fuentes!P$47)*100000</f>
        <v>0.78503527566619791</v>
      </c>
      <c r="Q397" s="28">
        <f>(Fuentes!Q1808/Fuentes!Q$47)*100000</f>
        <v>0.87992777888001528</v>
      </c>
      <c r="R397" s="28">
        <f>(Fuentes!R1808/Fuentes!R$47)*100000</f>
        <v>0.57944297732701711</v>
      </c>
      <c r="S397" s="28">
        <f>(Fuentes!S1808/Fuentes!S$47)*100000</f>
        <v>0.22493176388217503</v>
      </c>
      <c r="T397" s="28">
        <f>(Fuentes!T1808/Fuentes!T$47)*100000</f>
        <v>0.42445842641942438</v>
      </c>
      <c r="U397" s="28">
        <f>(Fuentes!U1808/Fuentes!U$47)*100000</f>
        <v>0.35975586966684409</v>
      </c>
      <c r="V397" s="28">
        <f>(Fuentes!V1808/Fuentes!V$47)*100000</f>
        <v>0.81059723420269558</v>
      </c>
    </row>
    <row r="398" spans="1:22" s="14" customFormat="1" ht="12.75" x14ac:dyDescent="0.2">
      <c r="A398" s="28" t="s">
        <v>3198</v>
      </c>
      <c r="B398" s="29" t="s">
        <v>3384</v>
      </c>
      <c r="C398" s="29">
        <f>(Fuentes!C1809/Fuentes!C$47)*100000</f>
        <v>0.54230649148617549</v>
      </c>
      <c r="D398" s="30">
        <f>(Fuentes!D1809/Fuentes!D$47)*100000</f>
        <v>0.32883146198720947</v>
      </c>
      <c r="E398" s="35">
        <f>(Fuentes!E1809/Fuentes!E$47)*100000</f>
        <v>0.37290882056149627</v>
      </c>
      <c r="F398" s="28">
        <f>(Fuentes!F1809/Fuentes!F$47)*100000</f>
        <v>0.34259942418825345</v>
      </c>
      <c r="G398" s="28">
        <f>(Fuentes!G1809/Fuentes!G$47)*100000</f>
        <v>0.26494385719237068</v>
      </c>
      <c r="H398" s="28">
        <f>(Fuentes!H1809/Fuentes!H$47)*100000</f>
        <v>0.2609573624137892</v>
      </c>
      <c r="I398" s="28">
        <f>(Fuentes!I1809/Fuentes!I$47)*100000</f>
        <v>0.25709007688395608</v>
      </c>
      <c r="J398" s="28">
        <f>(Fuentes!J1809/Fuentes!J$47)*100000</f>
        <v>0.27647285151795115</v>
      </c>
      <c r="K398" s="28">
        <f>(Fuentes!K1809/Fuentes!K$47)*100000</f>
        <v>0.204355496822272</v>
      </c>
      <c r="L398" s="28">
        <f>(Fuentes!L1809/Fuentes!L$47)*100000</f>
        <v>0.22374683314326041</v>
      </c>
      <c r="M398" s="28">
        <f>(Fuentes!M1809/Fuentes!M$47)*100000</f>
        <v>0.19850486138405529</v>
      </c>
      <c r="N398" s="36">
        <f>(Fuentes!N1809/Fuentes!N$47)*100000</f>
        <v>0.10888153188475892</v>
      </c>
      <c r="O398" s="28">
        <f>(Fuentes!O1809/Fuentes!O$47)*100000</f>
        <v>0.23643451591429979</v>
      </c>
      <c r="P398" s="28">
        <f>(Fuentes!P1809/Fuentes!P$47)*100000</f>
        <v>0.1485201872881996</v>
      </c>
      <c r="Q398" s="28">
        <f>(Fuentes!Q1809/Fuentes!Q$47)*100000</f>
        <v>8.3802645607620518E-2</v>
      </c>
      <c r="R398" s="28">
        <f>(Fuentes!R1809/Fuentes!R$47)*100000</f>
        <v>0.14486074433175428</v>
      </c>
      <c r="S398" s="28">
        <f>(Fuentes!S1809/Fuentes!S$47)*100000</f>
        <v>8.1793368684427284E-2</v>
      </c>
      <c r="T398" s="28">
        <f>(Fuentes!T1809/Fuentes!T$47)*100000</f>
        <v>0</v>
      </c>
      <c r="U398" s="28">
        <f>(Fuentes!U1809/Fuentes!U$47)*100000</f>
        <v>0</v>
      </c>
      <c r="V398" s="28">
        <f>(Fuentes!V1809/Fuentes!V$47)*100000</f>
        <v>0</v>
      </c>
    </row>
    <row r="399" spans="1:22" s="14" customFormat="1" ht="12.75" x14ac:dyDescent="0.2">
      <c r="A399" s="28" t="s">
        <v>3198</v>
      </c>
      <c r="B399" s="29" t="s">
        <v>3385</v>
      </c>
      <c r="C399" s="29">
        <f>(Fuentes!C1810/Fuentes!C$47)*100000</f>
        <v>3.821969559045427</v>
      </c>
      <c r="D399" s="30">
        <f>(Fuentes!D1810/Fuentes!D$47)*100000</f>
        <v>4.4265773729047426</v>
      </c>
      <c r="E399" s="35">
        <f>(Fuentes!E1810/Fuentes!E$47)*100000</f>
        <v>5.0466993715989164</v>
      </c>
      <c r="F399" s="28">
        <f>(Fuentes!F1810/Fuentes!F$47)*100000</f>
        <v>5.0166344256137121</v>
      </c>
      <c r="G399" s="28">
        <f>(Fuentes!G1810/Fuentes!G$47)*100000</f>
        <v>3.9019004422876407</v>
      </c>
      <c r="H399" s="36">
        <f>(Fuentes!H1810/Fuentes!H$47)*100000</f>
        <v>4.649785730282062</v>
      </c>
      <c r="I399" s="28">
        <f>(Fuentes!I1810/Fuentes!I$47)*100000</f>
        <v>4.2770440063421784</v>
      </c>
      <c r="J399" s="28">
        <f>(Fuentes!J1810/Fuentes!J$47)*100000</f>
        <v>4.1931715813555925</v>
      </c>
      <c r="K399" s="28">
        <f>(Fuentes!K1810/Fuentes!K$47)*100000</f>
        <v>3.5194557786057956</v>
      </c>
      <c r="L399" s="28">
        <f>(Fuentes!L1810/Fuentes!L$47)*100000</f>
        <v>4.2735645130362734</v>
      </c>
      <c r="M399" s="28">
        <f>(Fuentes!M1810/Fuentes!M$47)*100000</f>
        <v>4.0803777062278028</v>
      </c>
      <c r="N399" s="28">
        <f>(Fuentes!N1810/Fuentes!N$47)*100000</f>
        <v>4.268156049882549</v>
      </c>
      <c r="O399" s="28">
        <f>(Fuentes!O1810/Fuentes!O$47)*100000</f>
        <v>4.6857022244833963</v>
      </c>
      <c r="P399" s="28">
        <f>(Fuentes!P1810/Fuentes!P$47)*100000</f>
        <v>4.7314288236097877</v>
      </c>
      <c r="Q399" s="28">
        <f>(Fuentes!Q1810/Fuentes!Q$47)*100000</f>
        <v>4.8186521224381798</v>
      </c>
      <c r="R399" s="28">
        <f>(Fuentes!R1810/Fuentes!R$47)*100000</f>
        <v>4.8631821311374654</v>
      </c>
      <c r="S399" s="28">
        <f>(Fuentes!S1810/Fuentes!S$47)*100000</f>
        <v>4.7235670415256754</v>
      </c>
      <c r="T399" s="28">
        <f>(Fuentes!T1810/Fuentes!T$47)*100000</f>
        <v>5.3764734013127082</v>
      </c>
      <c r="U399" s="28">
        <f>(Fuentes!U1810/Fuentes!U$47)*100000</f>
        <v>9.0938289276896693</v>
      </c>
      <c r="V399" s="28">
        <f>(Fuentes!V1810/Fuentes!V$47)*100000</f>
        <v>4.9822073907092506</v>
      </c>
    </row>
    <row r="400" spans="1:22" s="14" customFormat="1" ht="12.75" x14ac:dyDescent="0.2">
      <c r="A400" s="28" t="s">
        <v>3198</v>
      </c>
      <c r="B400" s="29" t="s">
        <v>3386</v>
      </c>
      <c r="C400" s="29">
        <f>(Fuentes!C1811/Fuentes!C$47)*100000</f>
        <v>0</v>
      </c>
      <c r="D400" s="30">
        <f>(Fuentes!D1811/Fuentes!D$47)*100000</f>
        <v>0</v>
      </c>
      <c r="E400" s="35">
        <f>(Fuentes!E1811/Fuentes!E$47)*100000</f>
        <v>0</v>
      </c>
      <c r="F400" s="28">
        <f>(Fuentes!F1811/Fuentes!F$47)*100000</f>
        <v>0.39154219907228971</v>
      </c>
      <c r="G400" s="28">
        <f>(Fuentes!G1811/Fuentes!G$47)*100000</f>
        <v>0.4576302987868221</v>
      </c>
      <c r="H400" s="28">
        <f>(Fuentes!H1811/Fuentes!H$47)*100000</f>
        <v>0.2609573624137892</v>
      </c>
      <c r="I400" s="28">
        <f>(Fuentes!I1811/Fuentes!I$47)*100000</f>
        <v>0.35057737756903101</v>
      </c>
      <c r="J400" s="28">
        <f>(Fuentes!J1811/Fuentes!J$47)*100000</f>
        <v>0.62206391591539012</v>
      </c>
      <c r="K400" s="28">
        <f>(Fuentes!K1811/Fuentes!K$47)*100000</f>
        <v>0.70389115572115923</v>
      </c>
      <c r="L400" s="28">
        <f>(Fuentes!L1811/Fuentes!L$47)*100000</f>
        <v>0.71598986605843329</v>
      </c>
      <c r="M400" s="28">
        <f>(Fuentes!M1811/Fuentes!M$47)*100000</f>
        <v>0.41906581847745011</v>
      </c>
      <c r="N400" s="36">
        <f>(Fuentes!N1811/Fuentes!N$47)*100000</f>
        <v>0.58796027217769808</v>
      </c>
      <c r="O400" s="28">
        <f>(Fuentes!O1811/Fuentes!O$47)*100000</f>
        <v>0.66631545394029945</v>
      </c>
      <c r="P400" s="28">
        <f>(Fuentes!P1811/Fuentes!P$47)*100000</f>
        <v>0.23338886573859938</v>
      </c>
      <c r="Q400" s="28">
        <f>(Fuentes!Q1811/Fuentes!Q$47)*100000</f>
        <v>0.4609145508419128</v>
      </c>
      <c r="R400" s="28">
        <f>(Fuentes!R1811/Fuentes!R$47)*100000</f>
        <v>0.35180466480568895</v>
      </c>
      <c r="S400" s="28">
        <f>(Fuentes!S1811/Fuentes!S$47)*100000</f>
        <v>0.16358673736885457</v>
      </c>
      <c r="T400" s="28">
        <f>(Fuentes!T1811/Fuentes!T$47)*100000</f>
        <v>6.0636918059917756E-2</v>
      </c>
      <c r="U400" s="28">
        <f>(Fuentes!U1811/Fuentes!U$47)*100000</f>
        <v>0.83943036255596948</v>
      </c>
      <c r="V400" s="28">
        <f>(Fuentes!V1811/Fuentes!V$47)*100000</f>
        <v>0.51403727047000214</v>
      </c>
    </row>
    <row r="401" spans="1:22" s="14" customFormat="1" ht="12.75" x14ac:dyDescent="0.2">
      <c r="A401" s="28" t="s">
        <v>3198</v>
      </c>
      <c r="B401" s="29" t="s">
        <v>3387</v>
      </c>
      <c r="C401" s="29">
        <f>(Fuentes!C1812/Fuentes!C$47)*100000</f>
        <v>2.5824118642198829E-2</v>
      </c>
      <c r="D401" s="30">
        <f>(Fuentes!D1812/Fuentes!D$47)*100000</f>
        <v>0</v>
      </c>
      <c r="E401" s="35">
        <f>(Fuentes!E1812/Fuentes!E$47)*100000</f>
        <v>0</v>
      </c>
      <c r="F401" s="28">
        <f>(Fuentes!F1812/Fuentes!F$47)*100000</f>
        <v>0</v>
      </c>
      <c r="G401" s="28">
        <f>(Fuentes!G1812/Fuentes!G$47)*100000</f>
        <v>0</v>
      </c>
      <c r="H401" s="36">
        <f>(Fuentes!H1812/Fuentes!H$47)*100000</f>
        <v>4.7446793166143482E-2</v>
      </c>
      <c r="I401" s="28">
        <f>(Fuentes!I1812/Fuentes!I$47)*100000</f>
        <v>0</v>
      </c>
      <c r="J401" s="28">
        <f>(Fuentes!J1812/Fuentes!J$47)*100000</f>
        <v>4.6078808586325189E-2</v>
      </c>
      <c r="K401" s="28">
        <f>(Fuentes!K1812/Fuentes!K$47)*100000</f>
        <v>9.0824665254343129E-2</v>
      </c>
      <c r="L401" s="28">
        <f>(Fuentes!L1812/Fuentes!L$47)*100000</f>
        <v>4.4749366628652081E-2</v>
      </c>
      <c r="M401" s="28">
        <f>(Fuentes!M1812/Fuentes!M$47)*100000</f>
        <v>2.2056095709339477E-2</v>
      </c>
      <c r="N401" s="28">
        <f>(Fuentes!N1812/Fuentes!N$47)*100000</f>
        <v>0</v>
      </c>
      <c r="O401" s="28">
        <f>(Fuentes!O1812/Fuentes!O$47)*100000</f>
        <v>0</v>
      </c>
      <c r="P401" s="28">
        <f>(Fuentes!P1812/Fuentes!P$47)*100000</f>
        <v>0</v>
      </c>
      <c r="Q401" s="28">
        <f>(Fuentes!Q1812/Fuentes!Q$47)*100000</f>
        <v>0</v>
      </c>
      <c r="R401" s="28">
        <f>(Fuentes!R1812/Fuentes!R$47)*100000</f>
        <v>0</v>
      </c>
      <c r="S401" s="28">
        <f>(Fuentes!S1812/Fuentes!S$47)*100000</f>
        <v>0</v>
      </c>
      <c r="T401" s="28">
        <f>(Fuentes!T1812/Fuentes!T$47)*100000</f>
        <v>0</v>
      </c>
      <c r="U401" s="28">
        <f>(Fuentes!U1812/Fuentes!U$47)*100000</f>
        <v>0</v>
      </c>
      <c r="V401" s="28">
        <f>(Fuentes!V1812/Fuentes!V$47)*100000</f>
        <v>0</v>
      </c>
    </row>
    <row r="402" spans="1:22" s="14" customFormat="1" ht="12.75" x14ac:dyDescent="0.2">
      <c r="A402" s="28" t="s">
        <v>3198</v>
      </c>
      <c r="B402" s="29" t="s">
        <v>3388</v>
      </c>
      <c r="C402" s="29">
        <f>(Fuentes!C1813/Fuentes!C$47)*100000</f>
        <v>0</v>
      </c>
      <c r="D402" s="30">
        <f>(Fuentes!D1813/Fuentes!D$47)*100000</f>
        <v>0</v>
      </c>
      <c r="E402" s="35">
        <f>(Fuentes!E1813/Fuentes!E$47)*100000</f>
        <v>0</v>
      </c>
      <c r="F402" s="28">
        <f>(Fuentes!F1813/Fuentes!F$47)*100000</f>
        <v>0</v>
      </c>
      <c r="G402" s="28">
        <f>(Fuentes!G1813/Fuentes!G$47)*100000</f>
        <v>0</v>
      </c>
      <c r="H402" s="28">
        <f>(Fuentes!H1813/Fuentes!H$47)*100000</f>
        <v>0</v>
      </c>
      <c r="I402" s="28">
        <f>(Fuentes!I1813/Fuentes!I$47)*100000</f>
        <v>0</v>
      </c>
      <c r="J402" s="28">
        <f>(Fuentes!J1813/Fuentes!J$47)*100000</f>
        <v>0</v>
      </c>
      <c r="K402" s="28">
        <f>(Fuentes!K1813/Fuentes!K$47)*100000</f>
        <v>0</v>
      </c>
      <c r="L402" s="28">
        <f>(Fuentes!L1813/Fuentes!L$47)*100000</f>
        <v>2.237468331432604E-2</v>
      </c>
      <c r="M402" s="28">
        <f>(Fuentes!M1813/Fuentes!M$47)*100000</f>
        <v>0</v>
      </c>
      <c r="N402" s="36">
        <f>(Fuentes!N1813/Fuentes!N$47)*100000</f>
        <v>2.1776306376951781E-2</v>
      </c>
      <c r="O402" s="28">
        <f>(Fuentes!O1813/Fuentes!O$47)*100000</f>
        <v>4.2988093802599964E-2</v>
      </c>
      <c r="P402" s="28">
        <f>(Fuentes!P1813/Fuentes!P$47)*100000</f>
        <v>8.4868678450399776E-2</v>
      </c>
      <c r="Q402" s="28">
        <f>(Fuentes!Q1813/Fuentes!Q$47)*100000</f>
        <v>0</v>
      </c>
      <c r="R402" s="28">
        <f>(Fuentes!R1813/Fuentes!R$47)*100000</f>
        <v>0</v>
      </c>
      <c r="S402" s="28">
        <f>(Fuentes!S1813/Fuentes!S$47)*100000</f>
        <v>0</v>
      </c>
      <c r="T402" s="28">
        <f>(Fuentes!T1813/Fuentes!T$47)*100000</f>
        <v>0</v>
      </c>
      <c r="U402" s="28">
        <f>(Fuentes!U1813/Fuentes!U$47)*100000</f>
        <v>0</v>
      </c>
      <c r="V402" s="28">
        <f>(Fuentes!V1813/Fuentes!V$47)*100000</f>
        <v>0</v>
      </c>
    </row>
    <row r="403" spans="1:22" s="14" customFormat="1" ht="12.75" x14ac:dyDescent="0.2">
      <c r="A403" s="28" t="s">
        <v>3198</v>
      </c>
      <c r="B403" s="29" t="s">
        <v>3389</v>
      </c>
      <c r="C403" s="29">
        <f>(Fuentes!C1814/Fuentes!C$47)*100000</f>
        <v>0.1807688304953918</v>
      </c>
      <c r="D403" s="30">
        <f>(Fuentes!D1814/Fuentes!D$47)*100000</f>
        <v>0.15176836707101973</v>
      </c>
      <c r="E403" s="35">
        <f>(Fuentes!E1814/Fuentes!E$47)*100000</f>
        <v>0.49721176074866175</v>
      </c>
      <c r="F403" s="28">
        <f>(Fuentes!F1814/Fuentes!F$47)*100000</f>
        <v>0.14682832465210863</v>
      </c>
      <c r="G403" s="28">
        <f>(Fuentes!G1814/Fuentes!G$47)*100000</f>
        <v>0.24085805199306426</v>
      </c>
      <c r="H403" s="36">
        <f>(Fuentes!H1814/Fuentes!H$47)*100000</f>
        <v>0.61680831115986534</v>
      </c>
      <c r="I403" s="28">
        <f>(Fuentes!I1814/Fuentes!I$47)*100000</f>
        <v>0.21034642654141861</v>
      </c>
      <c r="J403" s="28">
        <f>(Fuentes!J1814/Fuentes!J$47)*100000</f>
        <v>0.11519702146581298</v>
      </c>
      <c r="K403" s="28">
        <f>(Fuentes!K1814/Fuentes!K$47)*100000</f>
        <v>6.8118498940757347E-2</v>
      </c>
      <c r="L403" s="28">
        <f>(Fuentes!L1814/Fuentes!L$47)*100000</f>
        <v>0.1118734165716302</v>
      </c>
      <c r="M403" s="28">
        <f>(Fuentes!M1814/Fuentes!M$47)*100000</f>
        <v>0.13233657425603684</v>
      </c>
      <c r="N403" s="28">
        <f>(Fuentes!N1814/Fuentes!N$47)*100000</f>
        <v>0</v>
      </c>
      <c r="O403" s="28">
        <f>(Fuentes!O1814/Fuentes!O$47)*100000</f>
        <v>0.1074702345064999</v>
      </c>
      <c r="P403" s="28">
        <f>(Fuentes!P1814/Fuentes!P$47)*100000</f>
        <v>0.10608584806299971</v>
      </c>
      <c r="Q403" s="28">
        <f>(Fuentes!Q1814/Fuentes!Q$47)*100000</f>
        <v>6.2851984205715389E-2</v>
      </c>
      <c r="R403" s="28">
        <f>(Fuentes!R1814/Fuentes!R$47)*100000</f>
        <v>8.277756818957388E-2</v>
      </c>
      <c r="S403" s="28">
        <f>(Fuentes!S1814/Fuentes!S$47)*100000</f>
        <v>0</v>
      </c>
      <c r="T403" s="28">
        <f>(Fuentes!T1814/Fuentes!T$47)*100000</f>
        <v>0</v>
      </c>
      <c r="U403" s="28">
        <f>(Fuentes!U1814/Fuentes!U$47)*100000</f>
        <v>0</v>
      </c>
      <c r="V403" s="28">
        <f>(Fuentes!V1814/Fuentes!V$47)*100000</f>
        <v>0</v>
      </c>
    </row>
    <row r="404" spans="1:22" s="14" customFormat="1" ht="12.75" x14ac:dyDescent="0.2">
      <c r="A404" s="28" t="s">
        <v>3198</v>
      </c>
      <c r="B404" s="29" t="s">
        <v>3390</v>
      </c>
      <c r="C404" s="29">
        <f>(Fuentes!C1815/Fuentes!C$47)*100000</f>
        <v>2.5824118642198829E-2</v>
      </c>
      <c r="D404" s="30">
        <f>(Fuentes!D1815/Fuentes!D$47)*100000</f>
        <v>0</v>
      </c>
      <c r="E404" s="35">
        <f>(Fuentes!E1815/Fuentes!E$47)*100000</f>
        <v>2.4860588037433084E-2</v>
      </c>
      <c r="F404" s="28">
        <f>(Fuentes!F1815/Fuentes!F$47)*100000</f>
        <v>0</v>
      </c>
      <c r="G404" s="28">
        <f>(Fuentes!G1815/Fuentes!G$47)*100000</f>
        <v>9.6343220797225709E-2</v>
      </c>
      <c r="H404" s="28">
        <f>(Fuentes!H1815/Fuentes!H$47)*100000</f>
        <v>9.4893586332286964E-2</v>
      </c>
      <c r="I404" s="28">
        <f>(Fuentes!I1815/Fuentes!I$47)*100000</f>
        <v>0</v>
      </c>
      <c r="J404" s="28">
        <f>(Fuentes!J1815/Fuentes!J$47)*100000</f>
        <v>2.3039404293162594E-2</v>
      </c>
      <c r="K404" s="28">
        <f>(Fuentes!K1815/Fuentes!K$47)*100000</f>
        <v>0</v>
      </c>
      <c r="L404" s="28">
        <f>(Fuentes!L1815/Fuentes!L$47)*100000</f>
        <v>4.4749366628652081E-2</v>
      </c>
      <c r="M404" s="28">
        <f>(Fuentes!M1815/Fuentes!M$47)*100000</f>
        <v>2.2056095709339477E-2</v>
      </c>
      <c r="N404" s="36">
        <f>(Fuentes!N1815/Fuentes!N$47)*100000</f>
        <v>4.3552612753903562E-2</v>
      </c>
      <c r="O404" s="28">
        <f>(Fuentes!O1815/Fuentes!O$47)*100000</f>
        <v>0.1074702345064999</v>
      </c>
      <c r="P404" s="28">
        <f>(Fuentes!P1815/Fuentes!P$47)*100000</f>
        <v>2.1217169612599944E-2</v>
      </c>
      <c r="Q404" s="28">
        <f>(Fuentes!Q1815/Fuentes!Q$47)*100000</f>
        <v>0</v>
      </c>
      <c r="R404" s="28">
        <f>(Fuentes!R1815/Fuentes!R$47)*100000</f>
        <v>6.2083176142180403E-2</v>
      </c>
      <c r="S404" s="28">
        <f>(Fuentes!S1815/Fuentes!S$47)*100000</f>
        <v>0</v>
      </c>
      <c r="T404" s="28">
        <f>(Fuentes!T1815/Fuentes!T$47)*100000</f>
        <v>2.0212306019972589E-2</v>
      </c>
      <c r="U404" s="28">
        <f>(Fuentes!U1815/Fuentes!U$47)*100000</f>
        <v>0</v>
      </c>
      <c r="V404" s="28">
        <f>(Fuentes!V1815/Fuentes!V$47)*100000</f>
        <v>7.9082656995384928E-2</v>
      </c>
    </row>
    <row r="405" spans="1:22" s="14" customFormat="1" ht="12.75" x14ac:dyDescent="0.2">
      <c r="A405" s="28" t="s">
        <v>3198</v>
      </c>
      <c r="B405" s="29" t="s">
        <v>3391</v>
      </c>
      <c r="C405" s="29">
        <f>(Fuentes!C1816/Fuentes!C$47)*100000</f>
        <v>0</v>
      </c>
      <c r="D405" s="30">
        <f>(Fuentes!D1816/Fuentes!D$47)*100000</f>
        <v>0</v>
      </c>
      <c r="E405" s="35">
        <f>(Fuentes!E1816/Fuentes!E$47)*100000</f>
        <v>0</v>
      </c>
      <c r="F405" s="28">
        <f>(Fuentes!F1816/Fuentes!F$47)*100000</f>
        <v>0</v>
      </c>
      <c r="G405" s="28">
        <f>(Fuentes!G1816/Fuentes!G$47)*100000</f>
        <v>0</v>
      </c>
      <c r="H405" s="36">
        <f>(Fuentes!H1816/Fuentes!H$47)*100000</f>
        <v>0</v>
      </c>
      <c r="I405" s="28">
        <f>(Fuentes!I1816/Fuentes!I$47)*100000</f>
        <v>0</v>
      </c>
      <c r="J405" s="28">
        <f>(Fuentes!J1816/Fuentes!J$47)*100000</f>
        <v>0</v>
      </c>
      <c r="K405" s="28">
        <f>(Fuentes!K1816/Fuentes!K$47)*100000</f>
        <v>0</v>
      </c>
      <c r="L405" s="28">
        <f>(Fuentes!L1816/Fuentes!L$47)*100000</f>
        <v>0</v>
      </c>
      <c r="M405" s="28">
        <f>(Fuentes!M1816/Fuentes!M$47)*100000</f>
        <v>0</v>
      </c>
      <c r="N405" s="28">
        <f>(Fuentes!N1816/Fuentes!N$47)*100000</f>
        <v>2.1776306376951781E-2</v>
      </c>
      <c r="O405" s="28">
        <f>(Fuentes!O1816/Fuentes!O$47)*100000</f>
        <v>0</v>
      </c>
      <c r="P405" s="28">
        <f>(Fuentes!P1816/Fuentes!P$47)*100000</f>
        <v>0</v>
      </c>
      <c r="Q405" s="28">
        <f>(Fuentes!Q1816/Fuentes!Q$47)*100000</f>
        <v>0</v>
      </c>
      <c r="R405" s="28">
        <f>(Fuentes!R1816/Fuentes!R$47)*100000</f>
        <v>0</v>
      </c>
      <c r="S405" s="28">
        <f>(Fuentes!S1816/Fuentes!S$47)*100000</f>
        <v>0</v>
      </c>
      <c r="T405" s="28">
        <f>(Fuentes!T1816/Fuentes!T$47)*100000</f>
        <v>0</v>
      </c>
      <c r="U405" s="28">
        <f>(Fuentes!U1816/Fuentes!U$47)*100000</f>
        <v>0</v>
      </c>
      <c r="V405" s="28">
        <f>(Fuentes!V1816/Fuentes!V$47)*100000</f>
        <v>0</v>
      </c>
    </row>
    <row r="406" spans="1:22" s="14" customFormat="1" ht="12.75" x14ac:dyDescent="0.2">
      <c r="A406" s="28" t="s">
        <v>3198</v>
      </c>
      <c r="B406" s="29" t="s">
        <v>3392</v>
      </c>
      <c r="C406" s="29">
        <f>(Fuentes!C1817/Fuentes!C$47)*100000</f>
        <v>0</v>
      </c>
      <c r="D406" s="30">
        <f>(Fuentes!D1817/Fuentes!D$47)*100000</f>
        <v>0</v>
      </c>
      <c r="E406" s="35">
        <f>(Fuentes!E1817/Fuentes!E$47)*100000</f>
        <v>0</v>
      </c>
      <c r="F406" s="28">
        <f>(Fuentes!F1817/Fuentes!F$47)*100000</f>
        <v>0</v>
      </c>
      <c r="G406" s="28">
        <f>(Fuentes!G1817/Fuentes!G$47)*100000</f>
        <v>0</v>
      </c>
      <c r="H406" s="28">
        <f>(Fuentes!H1817/Fuentes!H$47)*100000</f>
        <v>0</v>
      </c>
      <c r="I406" s="28">
        <f>(Fuentes!I1817/Fuentes!I$47)*100000</f>
        <v>0</v>
      </c>
      <c r="J406" s="28">
        <f>(Fuentes!J1817/Fuentes!J$47)*100000</f>
        <v>0</v>
      </c>
      <c r="K406" s="28">
        <f>(Fuentes!K1817/Fuentes!K$47)*100000</f>
        <v>0</v>
      </c>
      <c r="L406" s="28">
        <f>(Fuentes!L1817/Fuentes!L$47)*100000</f>
        <v>0</v>
      </c>
      <c r="M406" s="28">
        <f>(Fuentes!M1817/Fuentes!M$47)*100000</f>
        <v>0</v>
      </c>
      <c r="N406" s="36">
        <f>(Fuentes!N1817/Fuentes!N$47)*100000</f>
        <v>0</v>
      </c>
      <c r="O406" s="28">
        <f>(Fuentes!O1817/Fuentes!O$47)*100000</f>
        <v>0</v>
      </c>
      <c r="P406" s="28">
        <f>(Fuentes!P1817/Fuentes!P$47)*100000</f>
        <v>0</v>
      </c>
      <c r="Q406" s="28">
        <f>(Fuentes!Q1817/Fuentes!Q$47)*100000</f>
        <v>0</v>
      </c>
      <c r="R406" s="28">
        <f>(Fuentes!R1817/Fuentes!R$47)*100000</f>
        <v>0.22763831252132816</v>
      </c>
      <c r="S406" s="28">
        <f>(Fuentes!S1817/Fuentes!S$47)*100000</f>
        <v>0</v>
      </c>
      <c r="T406" s="28">
        <f>(Fuentes!T1817/Fuentes!T$47)*100000</f>
        <v>0</v>
      </c>
      <c r="U406" s="28">
        <f>(Fuentes!U1817/Fuentes!U$47)*100000</f>
        <v>0</v>
      </c>
      <c r="V406" s="28">
        <f>(Fuentes!V1817/Fuentes!V$47)*100000</f>
        <v>0</v>
      </c>
    </row>
    <row r="407" spans="1:22" s="14" customFormat="1" ht="12.75" x14ac:dyDescent="0.2">
      <c r="A407" s="28" t="s">
        <v>3198</v>
      </c>
      <c r="B407" s="29" t="s">
        <v>3393</v>
      </c>
      <c r="C407" s="29">
        <f>(Fuentes!C1818/Fuentes!C$47)*100000</f>
        <v>0</v>
      </c>
      <c r="D407" s="30">
        <f>(Fuentes!D1818/Fuentes!D$47)*100000</f>
        <v>0</v>
      </c>
      <c r="E407" s="35">
        <f>(Fuentes!E1818/Fuentes!E$47)*100000</f>
        <v>0</v>
      </c>
      <c r="F407" s="28">
        <f>(Fuentes!F1818/Fuentes!F$47)*100000</f>
        <v>0</v>
      </c>
      <c r="G407" s="28">
        <f>(Fuentes!G1818/Fuentes!G$47)*100000</f>
        <v>0</v>
      </c>
      <c r="H407" s="36">
        <f>(Fuentes!H1818/Fuentes!H$47)*100000</f>
        <v>0</v>
      </c>
      <c r="I407" s="28">
        <f>(Fuentes!I1818/Fuentes!I$47)*100000</f>
        <v>0</v>
      </c>
      <c r="J407" s="28">
        <f>(Fuentes!J1818/Fuentes!J$47)*100000</f>
        <v>2.3039404293162594E-2</v>
      </c>
      <c r="K407" s="28">
        <f>(Fuentes!K1818/Fuentes!K$47)*100000</f>
        <v>4.5412332627171564E-2</v>
      </c>
      <c r="L407" s="28">
        <f>(Fuentes!L1818/Fuentes!L$47)*100000</f>
        <v>0</v>
      </c>
      <c r="M407" s="28">
        <f>(Fuentes!M1818/Fuentes!M$47)*100000</f>
        <v>4.4112191418678955E-2</v>
      </c>
      <c r="N407" s="28">
        <f>(Fuentes!N1818/Fuentes!N$47)*100000</f>
        <v>0</v>
      </c>
      <c r="O407" s="28">
        <f>(Fuentes!O1818/Fuentes!O$47)*100000</f>
        <v>2.1494046901299982E-2</v>
      </c>
      <c r="P407" s="28">
        <f>(Fuentes!P1818/Fuentes!P$47)*100000</f>
        <v>4.2434339225199888E-2</v>
      </c>
      <c r="Q407" s="28">
        <f>(Fuentes!Q1818/Fuentes!Q$47)*100000</f>
        <v>0</v>
      </c>
      <c r="R407" s="28">
        <f>(Fuentes!R1818/Fuentes!R$47)*100000</f>
        <v>0</v>
      </c>
      <c r="S407" s="28">
        <f>(Fuentes!S1818/Fuentes!S$47)*100000</f>
        <v>2.0448342171106821E-2</v>
      </c>
      <c r="T407" s="28">
        <f>(Fuentes!T1818/Fuentes!T$47)*100000</f>
        <v>0</v>
      </c>
      <c r="U407" s="28">
        <f>(Fuentes!U1818/Fuentes!U$47)*100000</f>
        <v>0</v>
      </c>
      <c r="V407" s="28">
        <f>(Fuentes!V1818/Fuentes!V$47)*100000</f>
        <v>1.9770664248846232E-2</v>
      </c>
    </row>
    <row r="408" spans="1:22" s="14" customFormat="1" ht="12.75" x14ac:dyDescent="0.2">
      <c r="A408" s="28" t="s">
        <v>3198</v>
      </c>
      <c r="B408" s="29" t="s">
        <v>3394</v>
      </c>
      <c r="C408" s="29">
        <f>(Fuentes!C1819/Fuentes!C$47)*100000</f>
        <v>0.12912059321099417</v>
      </c>
      <c r="D408" s="30">
        <f>(Fuentes!D1819/Fuentes!D$47)*100000</f>
        <v>0.12647363922584981</v>
      </c>
      <c r="E408" s="35">
        <f>(Fuentes!E1819/Fuentes!E$47)*100000</f>
        <v>0.1491635282245985</v>
      </c>
      <c r="F408" s="28">
        <f>(Fuentes!F1819/Fuentes!F$47)*100000</f>
        <v>2.4471387442018107E-2</v>
      </c>
      <c r="G408" s="28">
        <f>(Fuentes!G1819/Fuentes!G$47)*100000</f>
        <v>4.8171610398612855E-2</v>
      </c>
      <c r="H408" s="28">
        <f>(Fuentes!H1819/Fuentes!H$47)*100000</f>
        <v>0</v>
      </c>
      <c r="I408" s="28">
        <f>(Fuentes!I1819/Fuentes!I$47)*100000</f>
        <v>2.3371825171268734E-2</v>
      </c>
      <c r="J408" s="28">
        <f>(Fuentes!J1819/Fuentes!J$47)*100000</f>
        <v>4.6078808586325189E-2</v>
      </c>
      <c r="K408" s="28">
        <f>(Fuentes!K1819/Fuentes!K$47)*100000</f>
        <v>2.2706166313585782E-2</v>
      </c>
      <c r="L408" s="28">
        <f>(Fuentes!L1819/Fuentes!L$47)*100000</f>
        <v>0</v>
      </c>
      <c r="M408" s="28">
        <f>(Fuentes!M1819/Fuentes!M$47)*100000</f>
        <v>0</v>
      </c>
      <c r="N408" s="36">
        <f>(Fuentes!N1819/Fuentes!N$47)*100000</f>
        <v>0</v>
      </c>
      <c r="O408" s="28">
        <f>(Fuentes!O1819/Fuentes!O$47)*100000</f>
        <v>0</v>
      </c>
      <c r="P408" s="28">
        <f>(Fuentes!P1819/Fuentes!P$47)*100000</f>
        <v>4.2434339225199888E-2</v>
      </c>
      <c r="Q408" s="28">
        <f>(Fuentes!Q1819/Fuentes!Q$47)*100000</f>
        <v>0</v>
      </c>
      <c r="R408" s="28">
        <f>(Fuentes!R1819/Fuentes!R$47)*100000</f>
        <v>0</v>
      </c>
      <c r="S408" s="28">
        <f>(Fuentes!S1819/Fuentes!S$47)*100000</f>
        <v>0</v>
      </c>
      <c r="T408" s="28">
        <f>(Fuentes!T1819/Fuentes!T$47)*100000</f>
        <v>0</v>
      </c>
      <c r="U408" s="28">
        <f>(Fuentes!U1819/Fuentes!U$47)*100000</f>
        <v>0</v>
      </c>
      <c r="V408" s="28">
        <f>(Fuentes!V1819/Fuentes!V$47)*100000</f>
        <v>0</v>
      </c>
    </row>
    <row r="409" spans="1:22" s="14" customFormat="1" ht="12.75" x14ac:dyDescent="0.2">
      <c r="A409" s="28" t="s">
        <v>3198</v>
      </c>
      <c r="B409" s="29" t="s">
        <v>3395</v>
      </c>
      <c r="C409" s="29">
        <f>(Fuentes!C1820/Fuentes!C$47)*100000</f>
        <v>0.23241706777978949</v>
      </c>
      <c r="D409" s="30">
        <f>(Fuentes!D1820/Fuentes!D$47)*100000</f>
        <v>0.30353673414203947</v>
      </c>
      <c r="E409" s="35">
        <f>(Fuentes!E1820/Fuentes!E$47)*100000</f>
        <v>0.44749058467379549</v>
      </c>
      <c r="F409" s="28">
        <f>(Fuentes!F1820/Fuentes!F$47)*100000</f>
        <v>9.7885549768072427E-2</v>
      </c>
      <c r="G409" s="28">
        <f>(Fuentes!G1820/Fuentes!G$47)*100000</f>
        <v>0.36128707798959636</v>
      </c>
      <c r="H409" s="36">
        <f>(Fuentes!H1820/Fuentes!H$47)*100000</f>
        <v>0.16606377608150222</v>
      </c>
      <c r="I409" s="28">
        <f>(Fuentes!I1820/Fuentes!I$47)*100000</f>
        <v>0.21034642654141861</v>
      </c>
      <c r="J409" s="28">
        <f>(Fuentes!J1820/Fuentes!J$47)*100000</f>
        <v>0.13823642575897557</v>
      </c>
      <c r="K409" s="28">
        <f>(Fuentes!K1820/Fuentes!K$47)*100000</f>
        <v>0.1135308315679289</v>
      </c>
      <c r="L409" s="28">
        <f>(Fuentes!L1820/Fuentes!L$47)*100000</f>
        <v>0.17899746651460832</v>
      </c>
      <c r="M409" s="28">
        <f>(Fuentes!M1820/Fuentes!M$47)*100000</f>
        <v>0.13233657425603684</v>
      </c>
      <c r="N409" s="28">
        <f>(Fuentes!N1820/Fuentes!N$47)*100000</f>
        <v>0.10888153188475892</v>
      </c>
      <c r="O409" s="28">
        <f>(Fuentes!O1820/Fuentes!O$47)*100000</f>
        <v>0.32241070351949969</v>
      </c>
      <c r="P409" s="28">
        <f>(Fuentes!P1820/Fuentes!P$47)*100000</f>
        <v>8.4868678450399776E-2</v>
      </c>
      <c r="Q409" s="28">
        <f>(Fuentes!Q1820/Fuentes!Q$47)*100000</f>
        <v>0.14665462981333588</v>
      </c>
      <c r="R409" s="28">
        <f>(Fuentes!R1820/Fuentes!R$47)*100000</f>
        <v>8.277756818957388E-2</v>
      </c>
      <c r="S409" s="28">
        <f>(Fuentes!S1820/Fuentes!S$47)*100000</f>
        <v>6.1345026513320453E-2</v>
      </c>
      <c r="T409" s="28">
        <f>(Fuentes!T1820/Fuentes!T$47)*100000</f>
        <v>0.1819107541797533</v>
      </c>
      <c r="U409" s="28">
        <f>(Fuentes!U1820/Fuentes!U$47)*100000</f>
        <v>0.1399050604259949</v>
      </c>
      <c r="V409" s="28">
        <f>(Fuentes!V1820/Fuentes!V$47)*100000</f>
        <v>0.47449594197230954</v>
      </c>
    </row>
    <row r="410" spans="1:22" s="14" customFormat="1" ht="12.75" x14ac:dyDescent="0.2">
      <c r="A410" s="28" t="s">
        <v>3198</v>
      </c>
      <c r="B410" s="29" t="s">
        <v>3396</v>
      </c>
      <c r="C410" s="29">
        <f>(Fuentes!C1821/Fuentes!C$47)*100000</f>
        <v>0.154944711853193</v>
      </c>
      <c r="D410" s="30">
        <f>(Fuentes!D1821/Fuentes!D$47)*100000</f>
        <v>0.15176836707101973</v>
      </c>
      <c r="E410" s="35">
        <f>(Fuentes!E1821/Fuentes!E$47)*100000</f>
        <v>0.37290882056149627</v>
      </c>
      <c r="F410" s="28">
        <f>(Fuentes!F1821/Fuentes!F$47)*100000</f>
        <v>9.7885549768072427E-2</v>
      </c>
      <c r="G410" s="28">
        <f>(Fuentes!G1821/Fuentes!G$47)*100000</f>
        <v>0.2890296623916771</v>
      </c>
      <c r="H410" s="28">
        <f>(Fuentes!H1821/Fuentes!H$47)*100000</f>
        <v>0.16606377608150222</v>
      </c>
      <c r="I410" s="28">
        <f>(Fuentes!I1821/Fuentes!I$47)*100000</f>
        <v>0.16360277619888117</v>
      </c>
      <c r="J410" s="28">
        <f>(Fuentes!J1821/Fuentes!J$47)*100000</f>
        <v>0.11519702146581298</v>
      </c>
      <c r="K410" s="28">
        <f>(Fuentes!K1821/Fuentes!K$47)*100000</f>
        <v>6.8118498940757347E-2</v>
      </c>
      <c r="L410" s="28">
        <f>(Fuentes!L1821/Fuentes!L$47)*100000</f>
        <v>0.13424809988595623</v>
      </c>
      <c r="M410" s="28">
        <f>(Fuentes!M1821/Fuentes!M$47)*100000</f>
        <v>4.4112191418678955E-2</v>
      </c>
      <c r="N410" s="36">
        <f>(Fuentes!N1821/Fuentes!N$47)*100000</f>
        <v>6.5328919130855354E-2</v>
      </c>
      <c r="O410" s="28">
        <f>(Fuentes!O1821/Fuentes!O$47)*100000</f>
        <v>0.1074702345064999</v>
      </c>
      <c r="P410" s="28">
        <f>(Fuentes!P1821/Fuentes!P$47)*100000</f>
        <v>6.3651508837799825E-2</v>
      </c>
      <c r="Q410" s="28">
        <f>(Fuentes!Q1821/Fuentes!Q$47)*100000</f>
        <v>6.2851984205715389E-2</v>
      </c>
      <c r="R410" s="28">
        <f>(Fuentes!R1821/Fuentes!R$47)*100000</f>
        <v>4.138878409478694E-2</v>
      </c>
      <c r="S410" s="28">
        <f>(Fuentes!S1821/Fuentes!S$47)*100000</f>
        <v>2.0448342171106821E-2</v>
      </c>
      <c r="T410" s="28">
        <f>(Fuentes!T1821/Fuentes!T$47)*100000</f>
        <v>6.0636918059917756E-2</v>
      </c>
      <c r="U410" s="28">
        <f>(Fuentes!U1821/Fuentes!U$47)*100000</f>
        <v>1.9986437203713559E-2</v>
      </c>
      <c r="V410" s="28">
        <f>(Fuentes!V1821/Fuentes!V$47)*100000</f>
        <v>0.19770664248846231</v>
      </c>
    </row>
    <row r="411" spans="1:22" s="14" customFormat="1" ht="12.75" x14ac:dyDescent="0.2">
      <c r="A411" s="28" t="s">
        <v>3198</v>
      </c>
      <c r="B411" s="29" t="s">
        <v>3397</v>
      </c>
      <c r="C411" s="29">
        <f>(Fuentes!C1822/Fuentes!C$47)*100000</f>
        <v>7.7472355926596501E-2</v>
      </c>
      <c r="D411" s="30">
        <f>(Fuentes!D1822/Fuentes!D$47)*100000</f>
        <v>0.15176836707101973</v>
      </c>
      <c r="E411" s="35">
        <f>(Fuentes!E1822/Fuentes!E$47)*100000</f>
        <v>7.4581764112299248E-2</v>
      </c>
      <c r="F411" s="28">
        <f>(Fuentes!F1822/Fuentes!F$47)*100000</f>
        <v>0</v>
      </c>
      <c r="G411" s="28">
        <f>(Fuentes!G1822/Fuentes!G$47)*100000</f>
        <v>7.2257415597919275E-2</v>
      </c>
      <c r="H411" s="36">
        <f>(Fuentes!H1822/Fuentes!H$47)*100000</f>
        <v>0</v>
      </c>
      <c r="I411" s="28">
        <f>(Fuentes!I1822/Fuentes!I$47)*100000</f>
        <v>4.6743650342537468E-2</v>
      </c>
      <c r="J411" s="28">
        <f>(Fuentes!J1822/Fuentes!J$47)*100000</f>
        <v>2.3039404293162594E-2</v>
      </c>
      <c r="K411" s="28">
        <f>(Fuentes!K1822/Fuentes!K$47)*100000</f>
        <v>2.2706166313585782E-2</v>
      </c>
      <c r="L411" s="28">
        <f>(Fuentes!L1822/Fuentes!L$47)*100000</f>
        <v>0</v>
      </c>
      <c r="M411" s="28">
        <f>(Fuentes!M1822/Fuentes!M$47)*100000</f>
        <v>2.2056095709339477E-2</v>
      </c>
      <c r="N411" s="28">
        <f>(Fuentes!N1822/Fuentes!N$47)*100000</f>
        <v>4.3552612753903562E-2</v>
      </c>
      <c r="O411" s="28">
        <f>(Fuentes!O1822/Fuentes!O$47)*100000</f>
        <v>0.1074702345064999</v>
      </c>
      <c r="P411" s="28">
        <f>(Fuentes!P1822/Fuentes!P$47)*100000</f>
        <v>0</v>
      </c>
      <c r="Q411" s="28">
        <f>(Fuentes!Q1822/Fuentes!Q$47)*100000</f>
        <v>4.1901322803810259E-2</v>
      </c>
      <c r="R411" s="28">
        <f>(Fuentes!R1822/Fuentes!R$47)*100000</f>
        <v>4.138878409478694E-2</v>
      </c>
      <c r="S411" s="28">
        <f>(Fuentes!S1822/Fuentes!S$47)*100000</f>
        <v>0</v>
      </c>
      <c r="T411" s="28">
        <f>(Fuentes!T1822/Fuentes!T$47)*100000</f>
        <v>6.0636918059917756E-2</v>
      </c>
      <c r="U411" s="28">
        <f>(Fuentes!U1822/Fuentes!U$47)*100000</f>
        <v>5.9959311611140681E-2</v>
      </c>
      <c r="V411" s="28">
        <f>(Fuentes!V1822/Fuentes!V$47)*100000</f>
        <v>0.11862398549307739</v>
      </c>
    </row>
    <row r="412" spans="1:22" s="14" customFormat="1" ht="12.75" x14ac:dyDescent="0.2">
      <c r="A412" s="28" t="s">
        <v>3198</v>
      </c>
      <c r="B412" s="29" t="s">
        <v>3398</v>
      </c>
      <c r="C412" s="29">
        <f>(Fuentes!C1823/Fuentes!C$47)*100000</f>
        <v>0</v>
      </c>
      <c r="D412" s="30">
        <f>(Fuentes!D1823/Fuentes!D$47)*100000</f>
        <v>0</v>
      </c>
      <c r="E412" s="35">
        <f>(Fuentes!E1823/Fuentes!E$47)*100000</f>
        <v>0</v>
      </c>
      <c r="F412" s="28">
        <f>(Fuentes!F1823/Fuentes!F$47)*100000</f>
        <v>0</v>
      </c>
      <c r="G412" s="28">
        <f>(Fuentes!G1823/Fuentes!G$47)*100000</f>
        <v>0</v>
      </c>
      <c r="H412" s="28">
        <f>(Fuentes!H1823/Fuentes!H$47)*100000</f>
        <v>0</v>
      </c>
      <c r="I412" s="28">
        <f>(Fuentes!I1823/Fuentes!I$47)*100000</f>
        <v>0</v>
      </c>
      <c r="J412" s="28">
        <f>(Fuentes!J1823/Fuentes!J$47)*100000</f>
        <v>0</v>
      </c>
      <c r="K412" s="28">
        <f>(Fuentes!K1823/Fuentes!K$47)*100000</f>
        <v>2.2706166313585782E-2</v>
      </c>
      <c r="L412" s="28">
        <f>(Fuentes!L1823/Fuentes!L$47)*100000</f>
        <v>4.4749366628652081E-2</v>
      </c>
      <c r="M412" s="28">
        <f>(Fuentes!M1823/Fuentes!M$47)*100000</f>
        <v>6.6168287128018421E-2</v>
      </c>
      <c r="N412" s="36">
        <f>(Fuentes!N1823/Fuentes!N$47)*100000</f>
        <v>0</v>
      </c>
      <c r="O412" s="28">
        <f>(Fuentes!O1823/Fuentes!O$47)*100000</f>
        <v>0.1074702345064999</v>
      </c>
      <c r="P412" s="28">
        <f>(Fuentes!P1823/Fuentes!P$47)*100000</f>
        <v>2.1217169612599944E-2</v>
      </c>
      <c r="Q412" s="28">
        <f>(Fuentes!Q1823/Fuentes!Q$47)*100000</f>
        <v>4.1901322803810259E-2</v>
      </c>
      <c r="R412" s="28">
        <f>(Fuentes!R1823/Fuentes!R$47)*100000</f>
        <v>0</v>
      </c>
      <c r="S412" s="28">
        <f>(Fuentes!S1823/Fuentes!S$47)*100000</f>
        <v>4.0896684342213642E-2</v>
      </c>
      <c r="T412" s="28">
        <f>(Fuentes!T1823/Fuentes!T$47)*100000</f>
        <v>6.0636918059917756E-2</v>
      </c>
      <c r="U412" s="28">
        <f>(Fuentes!U1823/Fuentes!U$47)*100000</f>
        <v>5.9959311611140681E-2</v>
      </c>
      <c r="V412" s="28">
        <f>(Fuentes!V1823/Fuentes!V$47)*100000</f>
        <v>0.15816531399076986</v>
      </c>
    </row>
    <row r="413" spans="1:22" s="14" customFormat="1" ht="12.75" x14ac:dyDescent="0.2">
      <c r="A413" s="28" t="s">
        <v>3198</v>
      </c>
      <c r="B413" s="29" t="s">
        <v>3399</v>
      </c>
      <c r="C413" s="29">
        <f>(Fuentes!C1824/Fuentes!C$47)*100000</f>
        <v>7.7472355926596501E-2</v>
      </c>
      <c r="D413" s="30">
        <f>(Fuentes!D1824/Fuentes!D$47)*100000</f>
        <v>0.12647363922584981</v>
      </c>
      <c r="E413" s="35">
        <f>(Fuentes!E1824/Fuentes!E$47)*100000</f>
        <v>7.4581764112299248E-2</v>
      </c>
      <c r="F413" s="28">
        <f>(Fuentes!F1824/Fuentes!F$47)*100000</f>
        <v>2.4471387442018107E-2</v>
      </c>
      <c r="G413" s="28">
        <f>(Fuentes!G1824/Fuentes!G$47)*100000</f>
        <v>0.2890296623916771</v>
      </c>
      <c r="H413" s="36">
        <f>(Fuentes!H1824/Fuentes!H$47)*100000</f>
        <v>2.3723396583071741E-2</v>
      </c>
      <c r="I413" s="28">
        <f>(Fuentes!I1824/Fuentes!I$47)*100000</f>
        <v>2.3371825171268734E-2</v>
      </c>
      <c r="J413" s="28">
        <f>(Fuentes!J1824/Fuentes!J$47)*100000</f>
        <v>4.6078808586325189E-2</v>
      </c>
      <c r="K413" s="28">
        <f>(Fuentes!K1824/Fuentes!K$47)*100000</f>
        <v>9.0824665254343129E-2</v>
      </c>
      <c r="L413" s="28">
        <f>(Fuentes!L1824/Fuentes!L$47)*100000</f>
        <v>0.13424809988595623</v>
      </c>
      <c r="M413" s="28">
        <f>(Fuentes!M1824/Fuentes!M$47)*100000</f>
        <v>8.8224382837357909E-2</v>
      </c>
      <c r="N413" s="28">
        <f>(Fuentes!N1824/Fuentes!N$47)*100000</f>
        <v>0.13065783826171071</v>
      </c>
      <c r="O413" s="28">
        <f>(Fuentes!O1824/Fuentes!O$47)*100000</f>
        <v>0.1074702345064999</v>
      </c>
      <c r="P413" s="28">
        <f>(Fuentes!P1824/Fuentes!P$47)*100000</f>
        <v>0.10608584806299971</v>
      </c>
      <c r="Q413" s="28">
        <f>(Fuentes!Q1824/Fuentes!Q$47)*100000</f>
        <v>0.10475330700952563</v>
      </c>
      <c r="R413" s="28">
        <f>(Fuentes!R1824/Fuentes!R$47)*100000</f>
        <v>8.277756818957388E-2</v>
      </c>
      <c r="S413" s="28">
        <f>(Fuentes!S1824/Fuentes!S$47)*100000</f>
        <v>0.12269005302664091</v>
      </c>
      <c r="T413" s="28">
        <f>(Fuentes!T1824/Fuentes!T$47)*100000</f>
        <v>0.14148614213980812</v>
      </c>
      <c r="U413" s="28">
        <f>(Fuentes!U1824/Fuentes!U$47)*100000</f>
        <v>7.9945748814854237E-2</v>
      </c>
      <c r="V413" s="28">
        <f>(Fuentes!V1824/Fuentes!V$47)*100000</f>
        <v>0.11862398549307739</v>
      </c>
    </row>
    <row r="414" spans="1:22" s="14" customFormat="1" ht="12.75" x14ac:dyDescent="0.2">
      <c r="A414" s="28" t="s">
        <v>3198</v>
      </c>
      <c r="B414" s="29" t="s">
        <v>3400</v>
      </c>
      <c r="C414" s="29">
        <f>(Fuentes!C1825/Fuentes!C$47)*100000</f>
        <v>7.7472355926596501E-2</v>
      </c>
      <c r="D414" s="30">
        <f>(Fuentes!D1825/Fuentes!D$47)*100000</f>
        <v>0.12647363922584981</v>
      </c>
      <c r="E414" s="35">
        <f>(Fuentes!E1825/Fuentes!E$47)*100000</f>
        <v>7.4581764112299248E-2</v>
      </c>
      <c r="F414" s="28">
        <f>(Fuentes!F1825/Fuentes!F$47)*100000</f>
        <v>2.4471387442018107E-2</v>
      </c>
      <c r="G414" s="28">
        <f>(Fuentes!G1825/Fuentes!G$47)*100000</f>
        <v>0.2890296623916771</v>
      </c>
      <c r="H414" s="28">
        <f>(Fuentes!H1825/Fuentes!H$47)*100000</f>
        <v>2.3723396583071741E-2</v>
      </c>
      <c r="I414" s="28">
        <f>(Fuentes!I1825/Fuentes!I$47)*100000</f>
        <v>2.3371825171268734E-2</v>
      </c>
      <c r="J414" s="28">
        <f>(Fuentes!J1825/Fuentes!J$47)*100000</f>
        <v>0</v>
      </c>
      <c r="K414" s="28">
        <f>(Fuentes!K1825/Fuentes!K$47)*100000</f>
        <v>0</v>
      </c>
      <c r="L414" s="28">
        <f>(Fuentes!L1825/Fuentes!L$47)*100000</f>
        <v>0</v>
      </c>
      <c r="M414" s="28">
        <f>(Fuentes!M1825/Fuentes!M$47)*100000</f>
        <v>8.8224382837357909E-2</v>
      </c>
      <c r="N414" s="36">
        <f>(Fuentes!N1825/Fuentes!N$47)*100000</f>
        <v>6.5328919130855354E-2</v>
      </c>
      <c r="O414" s="28">
        <f>(Fuentes!O1825/Fuentes!O$47)*100000</f>
        <v>2.1494046901299982E-2</v>
      </c>
      <c r="P414" s="28">
        <f>(Fuentes!P1825/Fuentes!P$47)*100000</f>
        <v>0</v>
      </c>
      <c r="Q414" s="28">
        <f>(Fuentes!Q1825/Fuentes!Q$47)*100000</f>
        <v>0</v>
      </c>
      <c r="R414" s="28">
        <f>(Fuentes!R1825/Fuentes!R$47)*100000</f>
        <v>0</v>
      </c>
      <c r="S414" s="28">
        <f>(Fuentes!S1825/Fuentes!S$47)*100000</f>
        <v>0</v>
      </c>
      <c r="T414" s="28">
        <f>(Fuentes!T1825/Fuentes!T$47)*100000</f>
        <v>0</v>
      </c>
      <c r="U414" s="28">
        <f>(Fuentes!U1825/Fuentes!U$47)*100000</f>
        <v>0</v>
      </c>
      <c r="V414" s="28">
        <f>(Fuentes!V1825/Fuentes!V$47)*100000</f>
        <v>1.9770664248846232E-2</v>
      </c>
    </row>
    <row r="415" spans="1:22" s="14" customFormat="1" ht="12.75" x14ac:dyDescent="0.2">
      <c r="A415" s="28" t="s">
        <v>3198</v>
      </c>
      <c r="B415" s="29" t="s">
        <v>3401</v>
      </c>
      <c r="C415" s="29">
        <f>(Fuentes!C1826/Fuentes!C$47)*100000</f>
        <v>0</v>
      </c>
      <c r="D415" s="30">
        <f>(Fuentes!D1826/Fuentes!D$47)*100000</f>
        <v>0</v>
      </c>
      <c r="E415" s="35">
        <f>(Fuentes!E1826/Fuentes!E$47)*100000</f>
        <v>0</v>
      </c>
      <c r="F415" s="28">
        <f>(Fuentes!F1826/Fuentes!F$47)*100000</f>
        <v>0</v>
      </c>
      <c r="G415" s="28">
        <f>(Fuentes!G1826/Fuentes!G$47)*100000</f>
        <v>0</v>
      </c>
      <c r="H415" s="36">
        <f>(Fuentes!H1826/Fuentes!H$47)*100000</f>
        <v>0</v>
      </c>
      <c r="I415" s="28">
        <f>(Fuentes!I1826/Fuentes!I$47)*100000</f>
        <v>0</v>
      </c>
      <c r="J415" s="28">
        <f>(Fuentes!J1826/Fuentes!J$47)*100000</f>
        <v>0</v>
      </c>
      <c r="K415" s="28">
        <f>(Fuentes!K1826/Fuentes!K$47)*100000</f>
        <v>0</v>
      </c>
      <c r="L415" s="28">
        <f>(Fuentes!L1826/Fuentes!L$47)*100000</f>
        <v>0</v>
      </c>
      <c r="M415" s="28">
        <f>(Fuentes!M1826/Fuentes!M$47)*100000</f>
        <v>0</v>
      </c>
      <c r="N415" s="28">
        <f>(Fuentes!N1826/Fuentes!N$47)*100000</f>
        <v>0</v>
      </c>
      <c r="O415" s="28">
        <f>(Fuentes!O1826/Fuentes!O$47)*100000</f>
        <v>0</v>
      </c>
      <c r="P415" s="28">
        <f>(Fuentes!P1826/Fuentes!P$47)*100000</f>
        <v>2.1217169612599944E-2</v>
      </c>
      <c r="Q415" s="28">
        <f>(Fuentes!Q1826/Fuentes!Q$47)*100000</f>
        <v>0</v>
      </c>
      <c r="R415" s="28">
        <f>(Fuentes!R1826/Fuentes!R$47)*100000</f>
        <v>0</v>
      </c>
      <c r="S415" s="28">
        <f>(Fuentes!S1826/Fuentes!S$47)*100000</f>
        <v>0</v>
      </c>
      <c r="T415" s="28">
        <f>(Fuentes!T1826/Fuentes!T$47)*100000</f>
        <v>0</v>
      </c>
      <c r="U415" s="28">
        <f>(Fuentes!U1826/Fuentes!U$47)*100000</f>
        <v>1.9986437203713559E-2</v>
      </c>
      <c r="V415" s="28">
        <f>(Fuentes!V1826/Fuentes!V$47)*100000</f>
        <v>0</v>
      </c>
    </row>
    <row r="416" spans="1:22" s="14" customFormat="1" ht="12.75" x14ac:dyDescent="0.2">
      <c r="A416" s="28" t="s">
        <v>3198</v>
      </c>
      <c r="B416" s="29" t="s">
        <v>3402</v>
      </c>
      <c r="C416" s="29">
        <f>(Fuentes!C1827/Fuentes!C$47)*100000</f>
        <v>0</v>
      </c>
      <c r="D416" s="30">
        <f>(Fuentes!D1827/Fuentes!D$47)*100000</f>
        <v>0</v>
      </c>
      <c r="E416" s="35">
        <f>(Fuentes!E1827/Fuentes!E$47)*100000</f>
        <v>0</v>
      </c>
      <c r="F416" s="28">
        <f>(Fuentes!F1827/Fuentes!F$47)*100000</f>
        <v>0</v>
      </c>
      <c r="G416" s="28">
        <f>(Fuentes!G1827/Fuentes!G$47)*100000</f>
        <v>0</v>
      </c>
      <c r="H416" s="28">
        <f>(Fuentes!H1827/Fuentes!H$47)*100000</f>
        <v>0</v>
      </c>
      <c r="I416" s="28">
        <f>(Fuentes!I1827/Fuentes!I$47)*100000</f>
        <v>0</v>
      </c>
      <c r="J416" s="28">
        <f>(Fuentes!J1827/Fuentes!J$47)*100000</f>
        <v>2.3039404293162594E-2</v>
      </c>
      <c r="K416" s="28">
        <f>(Fuentes!K1827/Fuentes!K$47)*100000</f>
        <v>4.5412332627171564E-2</v>
      </c>
      <c r="L416" s="28">
        <f>(Fuentes!L1827/Fuentes!L$47)*100000</f>
        <v>2.237468331432604E-2</v>
      </c>
      <c r="M416" s="28">
        <f>(Fuentes!M1827/Fuentes!M$47)*100000</f>
        <v>0</v>
      </c>
      <c r="N416" s="36">
        <f>(Fuentes!N1827/Fuentes!N$47)*100000</f>
        <v>0</v>
      </c>
      <c r="O416" s="28">
        <f>(Fuentes!O1827/Fuentes!O$47)*100000</f>
        <v>0</v>
      </c>
      <c r="P416" s="28">
        <f>(Fuentes!P1827/Fuentes!P$47)*100000</f>
        <v>0</v>
      </c>
      <c r="Q416" s="28">
        <f>(Fuentes!Q1827/Fuentes!Q$47)*100000</f>
        <v>2.095066140190513E-2</v>
      </c>
      <c r="R416" s="28">
        <f>(Fuentes!R1827/Fuentes!R$47)*100000</f>
        <v>0</v>
      </c>
      <c r="S416" s="28">
        <f>(Fuentes!S1827/Fuentes!S$47)*100000</f>
        <v>0</v>
      </c>
      <c r="T416" s="28">
        <f>(Fuentes!T1827/Fuentes!T$47)*100000</f>
        <v>0</v>
      </c>
      <c r="U416" s="28">
        <f>(Fuentes!U1827/Fuentes!U$47)*100000</f>
        <v>0</v>
      </c>
      <c r="V416" s="28">
        <f>(Fuentes!V1827/Fuentes!V$47)*100000</f>
        <v>0</v>
      </c>
    </row>
    <row r="417" spans="1:22" s="14" customFormat="1" ht="12.75" x14ac:dyDescent="0.2">
      <c r="A417" s="28" t="s">
        <v>3198</v>
      </c>
      <c r="B417" s="29" t="s">
        <v>3403</v>
      </c>
      <c r="C417" s="29">
        <f>(Fuentes!C1828/Fuentes!C$47)*100000</f>
        <v>0</v>
      </c>
      <c r="D417" s="30">
        <f>(Fuentes!D1828/Fuentes!D$47)*100000</f>
        <v>0</v>
      </c>
      <c r="E417" s="35">
        <f>(Fuentes!E1828/Fuentes!E$47)*100000</f>
        <v>0</v>
      </c>
      <c r="F417" s="28">
        <f>(Fuentes!F1828/Fuentes!F$47)*100000</f>
        <v>0</v>
      </c>
      <c r="G417" s="28">
        <f>(Fuentes!G1828/Fuentes!G$47)*100000</f>
        <v>0</v>
      </c>
      <c r="H417" s="36">
        <f>(Fuentes!H1828/Fuentes!H$47)*100000</f>
        <v>0</v>
      </c>
      <c r="I417" s="28">
        <f>(Fuentes!I1828/Fuentes!I$47)*100000</f>
        <v>0</v>
      </c>
      <c r="J417" s="28">
        <f>(Fuentes!J1828/Fuentes!J$47)*100000</f>
        <v>0</v>
      </c>
      <c r="K417" s="28">
        <f>(Fuentes!K1828/Fuentes!K$47)*100000</f>
        <v>0</v>
      </c>
      <c r="L417" s="28">
        <f>(Fuentes!L1828/Fuentes!L$47)*100000</f>
        <v>2.237468331432604E-2</v>
      </c>
      <c r="M417" s="28">
        <f>(Fuentes!M1828/Fuentes!M$47)*100000</f>
        <v>0</v>
      </c>
      <c r="N417" s="28">
        <f>(Fuentes!N1828/Fuentes!N$47)*100000</f>
        <v>0</v>
      </c>
      <c r="O417" s="28">
        <f>(Fuentes!O1828/Fuentes!O$47)*100000</f>
        <v>0</v>
      </c>
      <c r="P417" s="28">
        <f>(Fuentes!P1828/Fuentes!P$47)*100000</f>
        <v>0</v>
      </c>
      <c r="Q417" s="28">
        <f>(Fuentes!Q1828/Fuentes!Q$47)*100000</f>
        <v>4.1901322803810259E-2</v>
      </c>
      <c r="R417" s="28">
        <f>(Fuentes!R1828/Fuentes!R$47)*100000</f>
        <v>2.069439204739347E-2</v>
      </c>
      <c r="S417" s="28">
        <f>(Fuentes!S1828/Fuentes!S$47)*100000</f>
        <v>4.0896684342213642E-2</v>
      </c>
      <c r="T417" s="28">
        <f>(Fuentes!T1828/Fuentes!T$47)*100000</f>
        <v>8.0849224079890356E-2</v>
      </c>
      <c r="U417" s="28">
        <f>(Fuentes!U1828/Fuentes!U$47)*100000</f>
        <v>0</v>
      </c>
      <c r="V417" s="28">
        <f>(Fuentes!V1828/Fuentes!V$47)*100000</f>
        <v>1.9770664248846232E-2</v>
      </c>
    </row>
    <row r="418" spans="1:22" s="14" customFormat="1" ht="12.75" x14ac:dyDescent="0.2">
      <c r="A418" s="28" t="s">
        <v>3198</v>
      </c>
      <c r="B418" s="29" t="s">
        <v>3404</v>
      </c>
      <c r="C418" s="29">
        <f>(Fuentes!C1829/Fuentes!C$47)*100000</f>
        <v>0</v>
      </c>
      <c r="D418" s="30">
        <f>(Fuentes!D1829/Fuentes!D$47)*100000</f>
        <v>0</v>
      </c>
      <c r="E418" s="35">
        <f>(Fuentes!E1829/Fuentes!E$47)*100000</f>
        <v>0</v>
      </c>
      <c r="F418" s="28">
        <f>(Fuentes!F1829/Fuentes!F$47)*100000</f>
        <v>0</v>
      </c>
      <c r="G418" s="28">
        <f>(Fuentes!G1829/Fuentes!G$47)*100000</f>
        <v>0</v>
      </c>
      <c r="H418" s="28">
        <f>(Fuentes!H1829/Fuentes!H$47)*100000</f>
        <v>0</v>
      </c>
      <c r="I418" s="28">
        <f>(Fuentes!I1829/Fuentes!I$47)*100000</f>
        <v>0</v>
      </c>
      <c r="J418" s="28">
        <f>(Fuentes!J1829/Fuentes!J$47)*100000</f>
        <v>0</v>
      </c>
      <c r="K418" s="28">
        <f>(Fuentes!K1829/Fuentes!K$47)*100000</f>
        <v>2.2706166313585782E-2</v>
      </c>
      <c r="L418" s="28">
        <f>(Fuentes!L1829/Fuentes!L$47)*100000</f>
        <v>4.4749366628652081E-2</v>
      </c>
      <c r="M418" s="28">
        <f>(Fuentes!M1829/Fuentes!M$47)*100000</f>
        <v>0</v>
      </c>
      <c r="N418" s="36">
        <f>(Fuentes!N1829/Fuentes!N$47)*100000</f>
        <v>0</v>
      </c>
      <c r="O418" s="28">
        <f>(Fuentes!O1829/Fuentes!O$47)*100000</f>
        <v>0</v>
      </c>
      <c r="P418" s="28">
        <f>(Fuentes!P1829/Fuentes!P$47)*100000</f>
        <v>4.2434339225199888E-2</v>
      </c>
      <c r="Q418" s="28">
        <f>(Fuentes!Q1829/Fuentes!Q$47)*100000</f>
        <v>0</v>
      </c>
      <c r="R418" s="28">
        <f>(Fuentes!R1829/Fuentes!R$47)*100000</f>
        <v>2.069439204739347E-2</v>
      </c>
      <c r="S418" s="28">
        <f>(Fuentes!S1829/Fuentes!S$47)*100000</f>
        <v>0</v>
      </c>
      <c r="T418" s="28">
        <f>(Fuentes!T1829/Fuentes!T$47)*100000</f>
        <v>0</v>
      </c>
      <c r="U418" s="28">
        <f>(Fuentes!U1829/Fuentes!U$47)*100000</f>
        <v>0</v>
      </c>
      <c r="V418" s="28">
        <f>(Fuentes!V1829/Fuentes!V$47)*100000</f>
        <v>0</v>
      </c>
    </row>
    <row r="419" spans="1:22" s="14" customFormat="1" ht="12.75" x14ac:dyDescent="0.2">
      <c r="A419" s="28" t="s">
        <v>3198</v>
      </c>
      <c r="B419" s="29" t="s">
        <v>3405</v>
      </c>
      <c r="C419" s="29">
        <f>(Fuentes!C1830/Fuentes!C$47)*100000</f>
        <v>0</v>
      </c>
      <c r="D419" s="30">
        <f>(Fuentes!D1830/Fuentes!D$47)*100000</f>
        <v>0</v>
      </c>
      <c r="E419" s="35">
        <f>(Fuentes!E1830/Fuentes!E$47)*100000</f>
        <v>0</v>
      </c>
      <c r="F419" s="28">
        <f>(Fuentes!F1830/Fuentes!F$47)*100000</f>
        <v>0</v>
      </c>
      <c r="G419" s="28">
        <f>(Fuentes!G1830/Fuentes!G$47)*100000</f>
        <v>0</v>
      </c>
      <c r="H419" s="36">
        <f>(Fuentes!H1830/Fuentes!H$47)*100000</f>
        <v>0</v>
      </c>
      <c r="I419" s="28">
        <f>(Fuentes!I1830/Fuentes!I$47)*100000</f>
        <v>0</v>
      </c>
      <c r="J419" s="28">
        <f>(Fuentes!J1830/Fuentes!J$47)*100000</f>
        <v>0</v>
      </c>
      <c r="K419" s="28">
        <f>(Fuentes!K1830/Fuentes!K$47)*100000</f>
        <v>0</v>
      </c>
      <c r="L419" s="28">
        <f>(Fuentes!L1830/Fuentes!L$47)*100000</f>
        <v>2.237468331432604E-2</v>
      </c>
      <c r="M419" s="28">
        <f>(Fuentes!M1830/Fuentes!M$47)*100000</f>
        <v>0</v>
      </c>
      <c r="N419" s="28">
        <f>(Fuentes!N1830/Fuentes!N$47)*100000</f>
        <v>0</v>
      </c>
      <c r="O419" s="28">
        <f>(Fuentes!O1830/Fuentes!O$47)*100000</f>
        <v>0</v>
      </c>
      <c r="P419" s="28">
        <f>(Fuentes!P1830/Fuentes!P$47)*100000</f>
        <v>0</v>
      </c>
      <c r="Q419" s="28">
        <f>(Fuentes!Q1830/Fuentes!Q$47)*100000</f>
        <v>0</v>
      </c>
      <c r="R419" s="28">
        <f>(Fuentes!R1830/Fuentes!R$47)*100000</f>
        <v>0</v>
      </c>
      <c r="S419" s="28">
        <f>(Fuentes!S1830/Fuentes!S$47)*100000</f>
        <v>0</v>
      </c>
      <c r="T419" s="28">
        <f>(Fuentes!T1830/Fuentes!T$47)*100000</f>
        <v>0</v>
      </c>
      <c r="U419" s="28">
        <f>(Fuentes!U1830/Fuentes!U$47)*100000</f>
        <v>0</v>
      </c>
      <c r="V419" s="28">
        <f>(Fuentes!V1830/Fuentes!V$47)*100000</f>
        <v>0</v>
      </c>
    </row>
    <row r="420" spans="1:22" s="14" customFormat="1" ht="12.75" x14ac:dyDescent="0.2">
      <c r="A420" s="28" t="s">
        <v>3198</v>
      </c>
      <c r="B420" s="29" t="s">
        <v>3406</v>
      </c>
      <c r="C420" s="29">
        <f>(Fuentes!C1831/Fuentes!C$47)*100000</f>
        <v>0</v>
      </c>
      <c r="D420" s="30">
        <f>(Fuentes!D1831/Fuentes!D$47)*100000</f>
        <v>0</v>
      </c>
      <c r="E420" s="35">
        <f>(Fuentes!E1831/Fuentes!E$47)*100000</f>
        <v>0</v>
      </c>
      <c r="F420" s="28">
        <f>(Fuentes!F1831/Fuentes!F$47)*100000</f>
        <v>0</v>
      </c>
      <c r="G420" s="28">
        <f>(Fuentes!G1831/Fuentes!G$47)*100000</f>
        <v>0</v>
      </c>
      <c r="H420" s="28">
        <f>(Fuentes!H1831/Fuentes!H$47)*100000</f>
        <v>0</v>
      </c>
      <c r="I420" s="28">
        <f>(Fuentes!I1831/Fuentes!I$47)*100000</f>
        <v>0</v>
      </c>
      <c r="J420" s="28">
        <f>(Fuentes!J1831/Fuentes!J$47)*100000</f>
        <v>0</v>
      </c>
      <c r="K420" s="28">
        <f>(Fuentes!K1831/Fuentes!K$47)*100000</f>
        <v>0</v>
      </c>
      <c r="L420" s="28">
        <f>(Fuentes!L1831/Fuentes!L$47)*100000</f>
        <v>0</v>
      </c>
      <c r="M420" s="28">
        <f>(Fuentes!M1831/Fuentes!M$47)*100000</f>
        <v>0</v>
      </c>
      <c r="N420" s="36">
        <f>(Fuentes!N1831/Fuentes!N$47)*100000</f>
        <v>0</v>
      </c>
      <c r="O420" s="28">
        <f>(Fuentes!O1831/Fuentes!O$47)*100000</f>
        <v>0</v>
      </c>
      <c r="P420" s="28">
        <f>(Fuentes!P1831/Fuentes!P$47)*100000</f>
        <v>0</v>
      </c>
      <c r="Q420" s="28">
        <f>(Fuentes!Q1831/Fuentes!Q$47)*100000</f>
        <v>0</v>
      </c>
      <c r="R420" s="28">
        <f>(Fuentes!R1831/Fuentes!R$47)*100000</f>
        <v>0</v>
      </c>
      <c r="S420" s="28">
        <f>(Fuentes!S1831/Fuentes!S$47)*100000</f>
        <v>4.0896684342213642E-2</v>
      </c>
      <c r="T420" s="28">
        <f>(Fuentes!T1831/Fuentes!T$47)*100000</f>
        <v>2.0212306019972589E-2</v>
      </c>
      <c r="U420" s="28">
        <f>(Fuentes!U1831/Fuentes!U$47)*100000</f>
        <v>0</v>
      </c>
      <c r="V420" s="28">
        <f>(Fuentes!V1831/Fuentes!V$47)*100000</f>
        <v>0</v>
      </c>
    </row>
    <row r="421" spans="1:22" s="14" customFormat="1" ht="12.75" x14ac:dyDescent="0.2">
      <c r="A421" s="28" t="s">
        <v>3198</v>
      </c>
      <c r="B421" s="29" t="s">
        <v>3407</v>
      </c>
      <c r="C421" s="29">
        <f>(Fuentes!C1832/Fuentes!C$47)*100000</f>
        <v>0</v>
      </c>
      <c r="D421" s="30">
        <f>(Fuentes!D1832/Fuentes!D$47)*100000</f>
        <v>0</v>
      </c>
      <c r="E421" s="35">
        <f>(Fuentes!E1832/Fuentes!E$47)*100000</f>
        <v>0</v>
      </c>
      <c r="F421" s="28">
        <f>(Fuentes!F1832/Fuentes!F$47)*100000</f>
        <v>0</v>
      </c>
      <c r="G421" s="28">
        <f>(Fuentes!G1832/Fuentes!G$47)*100000</f>
        <v>0</v>
      </c>
      <c r="H421" s="36">
        <f>(Fuentes!H1832/Fuentes!H$47)*100000</f>
        <v>0</v>
      </c>
      <c r="I421" s="28">
        <f>(Fuentes!I1832/Fuentes!I$47)*100000</f>
        <v>0</v>
      </c>
      <c r="J421" s="28">
        <f>(Fuentes!J1832/Fuentes!J$47)*100000</f>
        <v>0</v>
      </c>
      <c r="K421" s="28">
        <f>(Fuentes!K1832/Fuentes!K$47)*100000</f>
        <v>0</v>
      </c>
      <c r="L421" s="28">
        <f>(Fuentes!L1832/Fuentes!L$47)*100000</f>
        <v>0</v>
      </c>
      <c r="M421" s="28">
        <f>(Fuentes!M1832/Fuentes!M$47)*100000</f>
        <v>0</v>
      </c>
      <c r="N421" s="28">
        <f>(Fuentes!N1832/Fuentes!N$47)*100000</f>
        <v>0</v>
      </c>
      <c r="O421" s="28">
        <f>(Fuentes!O1832/Fuentes!O$47)*100000</f>
        <v>0</v>
      </c>
      <c r="P421" s="28">
        <f>(Fuentes!P1832/Fuentes!P$47)*100000</f>
        <v>0</v>
      </c>
      <c r="Q421" s="28">
        <f>(Fuentes!Q1832/Fuentes!Q$47)*100000</f>
        <v>0</v>
      </c>
      <c r="R421" s="28">
        <f>(Fuentes!R1832/Fuentes!R$47)*100000</f>
        <v>4.138878409478694E-2</v>
      </c>
      <c r="S421" s="28">
        <f>(Fuentes!S1832/Fuentes!S$47)*100000</f>
        <v>2.0448342171106821E-2</v>
      </c>
      <c r="T421" s="28">
        <f>(Fuentes!T1832/Fuentes!T$47)*100000</f>
        <v>4.0424612039945178E-2</v>
      </c>
      <c r="U421" s="28">
        <f>(Fuentes!U1832/Fuentes!U$47)*100000</f>
        <v>5.9959311611140681E-2</v>
      </c>
      <c r="V421" s="28">
        <f>(Fuentes!V1832/Fuentes!V$47)*100000</f>
        <v>7.9082656995384928E-2</v>
      </c>
    </row>
    <row r="422" spans="1:22" s="14" customFormat="1" ht="12.75" x14ac:dyDescent="0.2">
      <c r="A422" s="28" t="s">
        <v>3198</v>
      </c>
      <c r="B422" s="29" t="s">
        <v>3408</v>
      </c>
      <c r="C422" s="29">
        <f>(Fuentes!C1833/Fuentes!C$47)*100000</f>
        <v>0</v>
      </c>
      <c r="D422" s="30">
        <f>(Fuentes!D1833/Fuentes!D$47)*100000</f>
        <v>0</v>
      </c>
      <c r="E422" s="35">
        <f>(Fuentes!E1833/Fuentes!E$47)*100000</f>
        <v>0</v>
      </c>
      <c r="F422" s="28">
        <f>(Fuentes!F1833/Fuentes!F$47)*100000</f>
        <v>0</v>
      </c>
      <c r="G422" s="28">
        <f>(Fuentes!G1833/Fuentes!G$47)*100000</f>
        <v>0</v>
      </c>
      <c r="H422" s="28">
        <f>(Fuentes!H1833/Fuentes!H$47)*100000</f>
        <v>0</v>
      </c>
      <c r="I422" s="28">
        <f>(Fuentes!I1833/Fuentes!I$47)*100000</f>
        <v>0</v>
      </c>
      <c r="J422" s="28">
        <f>(Fuentes!J1833/Fuentes!J$47)*100000</f>
        <v>0</v>
      </c>
      <c r="K422" s="28">
        <f>(Fuentes!K1833/Fuentes!K$47)*100000</f>
        <v>0</v>
      </c>
      <c r="L422" s="28">
        <f>(Fuentes!L1833/Fuentes!L$47)*100000</f>
        <v>0</v>
      </c>
      <c r="M422" s="28">
        <f>(Fuentes!M1833/Fuentes!M$47)*100000</f>
        <v>0</v>
      </c>
      <c r="N422" s="36">
        <f>(Fuentes!N1833/Fuentes!N$47)*100000</f>
        <v>0</v>
      </c>
      <c r="O422" s="28">
        <f>(Fuentes!O1833/Fuentes!O$47)*100000</f>
        <v>6.4482140703899946E-2</v>
      </c>
      <c r="P422" s="28">
        <f>(Fuentes!P1833/Fuentes!P$47)*100000</f>
        <v>0</v>
      </c>
      <c r="Q422" s="28">
        <f>(Fuentes!Q1833/Fuentes!Q$47)*100000</f>
        <v>0</v>
      </c>
      <c r="R422" s="28">
        <f>(Fuentes!R1833/Fuentes!R$47)*100000</f>
        <v>0</v>
      </c>
      <c r="S422" s="28">
        <f>(Fuentes!S1833/Fuentes!S$47)*100000</f>
        <v>2.0448342171106821E-2</v>
      </c>
      <c r="T422" s="28">
        <f>(Fuentes!T1833/Fuentes!T$47)*100000</f>
        <v>0</v>
      </c>
      <c r="U422" s="28">
        <f>(Fuentes!U1833/Fuentes!U$47)*100000</f>
        <v>0</v>
      </c>
      <c r="V422" s="28">
        <f>(Fuentes!V1833/Fuentes!V$47)*100000</f>
        <v>0</v>
      </c>
    </row>
    <row r="423" spans="1:22" s="14" customFormat="1" ht="12.75" x14ac:dyDescent="0.2">
      <c r="A423" s="28" t="s">
        <v>3198</v>
      </c>
      <c r="B423" s="29" t="s">
        <v>3409</v>
      </c>
      <c r="C423" s="29">
        <f>(Fuentes!C1834/Fuentes!C$47)*100000</f>
        <v>0</v>
      </c>
      <c r="D423" s="30">
        <f>(Fuentes!D1834/Fuentes!D$47)*100000</f>
        <v>0</v>
      </c>
      <c r="E423" s="35">
        <f>(Fuentes!E1834/Fuentes!E$47)*100000</f>
        <v>0</v>
      </c>
      <c r="F423" s="28">
        <f>(Fuentes!F1834/Fuentes!F$47)*100000</f>
        <v>0</v>
      </c>
      <c r="G423" s="28">
        <f>(Fuentes!G1834/Fuentes!G$47)*100000</f>
        <v>0</v>
      </c>
      <c r="H423" s="36">
        <f>(Fuentes!H1834/Fuentes!H$47)*100000</f>
        <v>0</v>
      </c>
      <c r="I423" s="28">
        <f>(Fuentes!I1834/Fuentes!I$47)*100000</f>
        <v>0</v>
      </c>
      <c r="J423" s="28">
        <f>(Fuentes!J1834/Fuentes!J$47)*100000</f>
        <v>2.3039404293162594E-2</v>
      </c>
      <c r="K423" s="28">
        <f>(Fuentes!K1834/Fuentes!K$47)*100000</f>
        <v>2.2706166313585782E-2</v>
      </c>
      <c r="L423" s="28">
        <f>(Fuentes!L1834/Fuentes!L$47)*100000</f>
        <v>2.237468331432604E-2</v>
      </c>
      <c r="M423" s="28">
        <f>(Fuentes!M1834/Fuentes!M$47)*100000</f>
        <v>0</v>
      </c>
      <c r="N423" s="28">
        <f>(Fuentes!N1834/Fuentes!N$47)*100000</f>
        <v>6.5328919130855354E-2</v>
      </c>
      <c r="O423" s="28">
        <f>(Fuentes!O1834/Fuentes!O$47)*100000</f>
        <v>2.1494046901299982E-2</v>
      </c>
      <c r="P423" s="28">
        <f>(Fuentes!P1834/Fuentes!P$47)*100000</f>
        <v>4.2434339225199888E-2</v>
      </c>
      <c r="Q423" s="28">
        <f>(Fuentes!Q1834/Fuentes!Q$47)*100000</f>
        <v>4.1901322803810259E-2</v>
      </c>
      <c r="R423" s="28">
        <f>(Fuentes!R1834/Fuentes!R$47)*100000</f>
        <v>0</v>
      </c>
      <c r="S423" s="28">
        <f>(Fuentes!S1834/Fuentes!S$47)*100000</f>
        <v>0</v>
      </c>
      <c r="T423" s="28">
        <f>(Fuentes!T1834/Fuentes!T$47)*100000</f>
        <v>0</v>
      </c>
      <c r="U423" s="28">
        <f>(Fuentes!U1834/Fuentes!U$47)*100000</f>
        <v>0</v>
      </c>
      <c r="V423" s="28">
        <f>(Fuentes!V1834/Fuentes!V$47)*100000</f>
        <v>0</v>
      </c>
    </row>
    <row r="424" spans="1:22" s="14" customFormat="1" ht="12.75" x14ac:dyDescent="0.2">
      <c r="A424" s="28" t="s">
        <v>3198</v>
      </c>
      <c r="B424" s="29" t="s">
        <v>3410</v>
      </c>
      <c r="C424" s="29">
        <f>(Fuentes!C1835/Fuentes!C$47)*100000</f>
        <v>95.006932484649496</v>
      </c>
      <c r="D424" s="30">
        <f>(Fuentes!D1835/Fuentes!D$47)*100000</f>
        <v>122.65413532122913</v>
      </c>
      <c r="E424" s="35">
        <f>(Fuentes!E1835/Fuentes!E$47)*100000</f>
        <v>151.47556291207977</v>
      </c>
      <c r="F424" s="28">
        <f>(Fuentes!F1835/Fuentes!F$47)*100000</f>
        <v>154.75705418332251</v>
      </c>
      <c r="G424" s="28">
        <f>(Fuentes!G1835/Fuentes!G$47)*100000</f>
        <v>168.19117770675678</v>
      </c>
      <c r="H424" s="28">
        <f>(Fuentes!H1835/Fuentes!H$47)*100000</f>
        <v>158.82814012366532</v>
      </c>
      <c r="I424" s="28">
        <f>(Fuentes!I1835/Fuentes!I$47)*100000</f>
        <v>147.63981960690461</v>
      </c>
      <c r="J424" s="28">
        <f>(Fuentes!J1835/Fuentes!J$47)*100000</f>
        <v>150.47034943864492</v>
      </c>
      <c r="K424" s="28">
        <f>(Fuentes!K1835/Fuentes!K$47)*100000</f>
        <v>82.763976213020172</v>
      </c>
      <c r="L424" s="28">
        <f>(Fuentes!L1835/Fuentes!L$47)*100000</f>
        <v>92.161320571708956</v>
      </c>
      <c r="M424" s="28">
        <f>(Fuentes!M1835/Fuentes!M$47)*100000</f>
        <v>94.752987167322402</v>
      </c>
      <c r="N424" s="36">
        <f>(Fuentes!N1835/Fuentes!N$47)*100000</f>
        <v>93.289696518861433</v>
      </c>
      <c r="O424" s="28">
        <f>(Fuentes!O1835/Fuentes!O$47)*100000</f>
        <v>107.3412702250921</v>
      </c>
      <c r="P424" s="28">
        <f>(Fuentes!P1835/Fuentes!P$47)*100000</f>
        <v>100.27234358914734</v>
      </c>
      <c r="Q424" s="28">
        <f>(Fuentes!Q1835/Fuentes!Q$47)*100000</f>
        <v>110.36808426523621</v>
      </c>
      <c r="R424" s="28">
        <f>(Fuentes!R1835/Fuentes!R$47)*100000</f>
        <v>107.0934788452612</v>
      </c>
      <c r="S424" s="28">
        <f>(Fuentes!S1835/Fuentes!S$47)*100000</f>
        <v>110.54373777700346</v>
      </c>
      <c r="T424" s="28">
        <f>(Fuentes!T1835/Fuentes!T$47)*100000</f>
        <v>116.58458112320189</v>
      </c>
      <c r="U424" s="28">
        <f>(Fuentes!U1835/Fuentes!U$47)*100000</f>
        <v>122.39694143554183</v>
      </c>
      <c r="V424" s="28">
        <f>(Fuentes!V1835/Fuentes!V$47)*100000</f>
        <v>126.78926982785089</v>
      </c>
    </row>
    <row r="425" spans="1:22" s="14" customFormat="1" ht="12.75" x14ac:dyDescent="0.2">
      <c r="A425" s="28" t="s">
        <v>3198</v>
      </c>
      <c r="B425" s="29" t="s">
        <v>3411</v>
      </c>
      <c r="C425" s="29">
        <f>(Fuentes!C1836/Fuentes!C$47)*100000</f>
        <v>0</v>
      </c>
      <c r="D425" s="30">
        <f>(Fuentes!D1836/Fuentes!D$47)*100000</f>
        <v>0</v>
      </c>
      <c r="E425" s="35">
        <f>(Fuentes!E1836/Fuentes!E$47)*100000</f>
        <v>0</v>
      </c>
      <c r="F425" s="28">
        <f>(Fuentes!F1836/Fuentes!F$47)*100000</f>
        <v>0</v>
      </c>
      <c r="G425" s="28">
        <f>(Fuentes!G1836/Fuentes!G$47)*100000</f>
        <v>0</v>
      </c>
      <c r="H425" s="36">
        <f>(Fuentes!H1836/Fuentes!H$47)*100000</f>
        <v>0</v>
      </c>
      <c r="I425" s="28">
        <f>(Fuentes!I1836/Fuentes!I$47)*100000</f>
        <v>0</v>
      </c>
      <c r="J425" s="28">
        <f>(Fuentes!J1836/Fuentes!J$47)*100000</f>
        <v>0</v>
      </c>
      <c r="K425" s="28">
        <f>(Fuentes!K1836/Fuentes!K$47)*100000</f>
        <v>3.8600482733095829</v>
      </c>
      <c r="L425" s="28">
        <f>(Fuentes!L1836/Fuentes!L$47)*100000</f>
        <v>5.1238024789806635</v>
      </c>
      <c r="M425" s="28">
        <f>(Fuentes!M1836/Fuentes!M$47)*100000</f>
        <v>6.1095385114870355</v>
      </c>
      <c r="N425" s="28">
        <f>(Fuentes!N1836/Fuentes!N$47)*100000</f>
        <v>9.2767065165814593</v>
      </c>
      <c r="O425" s="28">
        <f>(Fuentes!O1836/Fuentes!O$47)*100000</f>
        <v>11.778737701912391</v>
      </c>
      <c r="P425" s="28">
        <f>(Fuentes!P1836/Fuentes!P$47)*100000</f>
        <v>10.014504057147173</v>
      </c>
      <c r="Q425" s="28">
        <f>(Fuentes!Q1836/Fuentes!Q$47)*100000</f>
        <v>10.894343928990667</v>
      </c>
      <c r="R425" s="28">
        <f>(Fuentes!R1836/Fuentes!R$47)*100000</f>
        <v>10.926639001023752</v>
      </c>
      <c r="S425" s="28">
        <f>(Fuentes!S1836/Fuentes!S$47)*100000</f>
        <v>10.367309480751159</v>
      </c>
      <c r="T425" s="28">
        <f>(Fuentes!T1836/Fuentes!T$47)*100000</f>
        <v>10.530611436405719</v>
      </c>
      <c r="U425" s="28">
        <f>(Fuentes!U1836/Fuentes!U$47)*100000</f>
        <v>10.692743903986754</v>
      </c>
      <c r="V425" s="28">
        <f>(Fuentes!V1836/Fuentes!V$47)*100000</f>
        <v>12.495059805270818</v>
      </c>
    </row>
    <row r="426" spans="1:22" s="14" customFormat="1" ht="12.75" x14ac:dyDescent="0.2">
      <c r="A426" s="28" t="s">
        <v>3198</v>
      </c>
      <c r="B426" s="29" t="s">
        <v>3412</v>
      </c>
      <c r="C426" s="29">
        <f>(Fuentes!C1837/Fuentes!C$47)*100000</f>
        <v>7.7472355926596501E-2</v>
      </c>
      <c r="D426" s="30">
        <f>(Fuentes!D1837/Fuentes!D$47)*100000</f>
        <v>0.10117891138067985</v>
      </c>
      <c r="E426" s="35">
        <f>(Fuentes!E1837/Fuentes!E$47)*100000</f>
        <v>0.32318764448663007</v>
      </c>
      <c r="F426" s="28">
        <f>(Fuentes!F1837/Fuentes!F$47)*100000</f>
        <v>0.26918526186219921</v>
      </c>
      <c r="G426" s="28">
        <f>(Fuentes!G1837/Fuentes!G$47)*100000</f>
        <v>9.6343220797225709E-2</v>
      </c>
      <c r="H426" s="28">
        <f>(Fuentes!H1837/Fuentes!H$47)*100000</f>
        <v>0.16606377608150222</v>
      </c>
      <c r="I426" s="28">
        <f>(Fuentes!I1837/Fuentes!I$47)*100000</f>
        <v>9.3487300685074937E-2</v>
      </c>
      <c r="J426" s="28">
        <f>(Fuentes!J1837/Fuentes!J$47)*100000</f>
        <v>0.13823642575897557</v>
      </c>
      <c r="K426" s="28">
        <f>(Fuentes!K1837/Fuentes!K$47)*100000</f>
        <v>4.3822900985220556</v>
      </c>
      <c r="L426" s="28">
        <f>(Fuentes!L1837/Fuentes!L$47)*100000</f>
        <v>7.7192657434424845</v>
      </c>
      <c r="M426" s="28">
        <f>(Fuentes!M1837/Fuentes!M$47)*100000</f>
        <v>4.1244898976464821</v>
      </c>
      <c r="N426" s="36">
        <f>(Fuentes!N1837/Fuentes!N$47)*100000</f>
        <v>2.0905254121873713</v>
      </c>
      <c r="O426" s="28">
        <f>(Fuentes!O1837/Fuentes!O$47)*100000</f>
        <v>1.3326309078805989</v>
      </c>
      <c r="P426" s="28">
        <f>(Fuentes!P1837/Fuentes!P$47)*100000</f>
        <v>1.166944328692997</v>
      </c>
      <c r="Q426" s="28">
        <f>(Fuentes!Q1837/Fuentes!Q$47)*100000</f>
        <v>1.0056317472914462</v>
      </c>
      <c r="R426" s="28">
        <f>(Fuentes!R1837/Fuentes!R$47)*100000</f>
        <v>0.7036093296113779</v>
      </c>
      <c r="S426" s="28">
        <f>(Fuentes!S1837/Fuentes!S$47)*100000</f>
        <v>0.53165689644877734</v>
      </c>
      <c r="T426" s="28">
        <f>(Fuentes!T1837/Fuentes!T$47)*100000</f>
        <v>0.40424612039945174</v>
      </c>
      <c r="U426" s="28">
        <f>(Fuentes!U1837/Fuentes!U$47)*100000</f>
        <v>0.29979655805570338</v>
      </c>
      <c r="V426" s="28">
        <f>(Fuentes!V1837/Fuentes!V$47)*100000</f>
        <v>0.15816531399076986</v>
      </c>
    </row>
    <row r="427" spans="1:22" s="14" customFormat="1" ht="12.75" x14ac:dyDescent="0.2">
      <c r="A427" s="28" t="s">
        <v>3198</v>
      </c>
      <c r="B427" s="29" t="s">
        <v>3413</v>
      </c>
      <c r="C427" s="29">
        <f>(Fuentes!C1838/Fuentes!C$47)*100000</f>
        <v>75.019064655587613</v>
      </c>
      <c r="D427" s="30">
        <f>(Fuentes!D1838/Fuentes!D$47)*100000</f>
        <v>99.231217336601745</v>
      </c>
      <c r="E427" s="35">
        <f>(Fuentes!E1838/Fuentes!E$47)*100000</f>
        <v>121.34453021071089</v>
      </c>
      <c r="F427" s="28">
        <f>(Fuentes!F1838/Fuentes!F$47)*100000</f>
        <v>124.24123404312591</v>
      </c>
      <c r="G427" s="28">
        <f>(Fuentes!G1838/Fuentes!G$47)*100000</f>
        <v>136.27748581767574</v>
      </c>
      <c r="H427" s="36">
        <f>(Fuentes!H1838/Fuentes!H$47)*100000</f>
        <v>132.8272974686187</v>
      </c>
      <c r="I427" s="28">
        <f>(Fuentes!I1838/Fuentes!I$47)*100000</f>
        <v>124.96914919077392</v>
      </c>
      <c r="J427" s="28">
        <f>(Fuentes!J1838/Fuentes!J$47)*100000</f>
        <v>126.2098567179447</v>
      </c>
      <c r="K427" s="28">
        <f>(Fuentes!K1838/Fuentes!K$47)*100000</f>
        <v>61.94242170346201</v>
      </c>
      <c r="L427" s="28">
        <f>(Fuentes!L1838/Fuentes!L$47)*100000</f>
        <v>57.928055100790111</v>
      </c>
      <c r="M427" s="28">
        <f>(Fuentes!M1838/Fuentes!M$47)*100000</f>
        <v>53.089022372380121</v>
      </c>
      <c r="N427" s="28">
        <f>(Fuentes!N1838/Fuentes!N$47)*100000</f>
        <v>49.671754845827017</v>
      </c>
      <c r="O427" s="28">
        <f>(Fuentes!O1838/Fuentes!O$47)*100000</f>
        <v>68.007164395713147</v>
      </c>
      <c r="P427" s="28">
        <f>(Fuentes!P1838/Fuentes!P$47)*100000</f>
        <v>64.075852230051837</v>
      </c>
      <c r="Q427" s="28">
        <f>(Fuentes!Q1838/Fuentes!Q$47)*100000</f>
        <v>71.148446120869821</v>
      </c>
      <c r="R427" s="28">
        <f>(Fuentes!R1838/Fuentes!R$47)*100000</f>
        <v>70.816209586180449</v>
      </c>
      <c r="S427" s="28">
        <f>(Fuentes!S1838/Fuentes!S$47)*100000</f>
        <v>74.677345608882106</v>
      </c>
      <c r="T427" s="28">
        <f>(Fuentes!T1838/Fuentes!T$47)*100000</f>
        <v>77.211008996295291</v>
      </c>
      <c r="U427" s="28">
        <f>(Fuentes!U1838/Fuentes!U$47)*100000</f>
        <v>78.84649476864999</v>
      </c>
      <c r="V427" s="28">
        <f>(Fuentes!V1838/Fuentes!V$47)*100000</f>
        <v>81.5935313549884</v>
      </c>
    </row>
    <row r="428" spans="1:22" s="14" customFormat="1" ht="12.75" x14ac:dyDescent="0.2">
      <c r="A428" s="28" t="s">
        <v>3198</v>
      </c>
      <c r="B428" s="29" t="s">
        <v>3414</v>
      </c>
      <c r="C428" s="29">
        <f>(Fuentes!C1839/Fuentes!C$47)*100000</f>
        <v>2.5049395082932864</v>
      </c>
      <c r="D428" s="30">
        <f>(Fuentes!D1839/Fuentes!D$47)*100000</f>
        <v>3.0606620692655651</v>
      </c>
      <c r="E428" s="35">
        <f>(Fuentes!E1839/Fuentes!E$47)*100000</f>
        <v>2.9584099764545368</v>
      </c>
      <c r="F428" s="28">
        <f>(Fuentes!F1839/Fuentes!F$47)*100000</f>
        <v>2.6184384562959373</v>
      </c>
      <c r="G428" s="28">
        <f>(Fuentes!G1839/Fuentes!G$47)*100000</f>
        <v>1.3969767015597727</v>
      </c>
      <c r="H428" s="28">
        <f>(Fuentes!H1839/Fuentes!H$47)*100000</f>
        <v>2.5621268309717484</v>
      </c>
      <c r="I428" s="28">
        <f>(Fuentes!I1839/Fuentes!I$47)*100000</f>
        <v>2.1034642654141864</v>
      </c>
      <c r="J428" s="28">
        <f>(Fuentes!J1839/Fuentes!J$47)*100000</f>
        <v>1.3362854490034306</v>
      </c>
      <c r="K428" s="28">
        <f>(Fuentes!K1839/Fuentes!K$47)*100000</f>
        <v>1.6121378082645903</v>
      </c>
      <c r="L428" s="28">
        <f>(Fuentes!L1839/Fuentes!L$47)*100000</f>
        <v>0.78311391600141145</v>
      </c>
      <c r="M428" s="28">
        <f>(Fuentes!M1839/Fuentes!M$47)*100000</f>
        <v>1.4998145082350844</v>
      </c>
      <c r="N428" s="36">
        <f>(Fuentes!N1839/Fuentes!N$47)*100000</f>
        <v>1.4590125272557695</v>
      </c>
      <c r="O428" s="28">
        <f>(Fuentes!O1839/Fuentes!O$47)*100000</f>
        <v>1.0317142512623991</v>
      </c>
      <c r="P428" s="28">
        <f>(Fuentes!P1839/Fuentes!P$47)*100000</f>
        <v>0.5940807491527984</v>
      </c>
      <c r="Q428" s="28">
        <f>(Fuentes!Q1839/Fuentes!Q$47)*100000</f>
        <v>0.79612513327239476</v>
      </c>
      <c r="R428" s="28">
        <f>(Fuentes!R1839/Fuentes!R$47)*100000</f>
        <v>1.5106906194597232</v>
      </c>
      <c r="S428" s="28">
        <f>(Fuentes!S1839/Fuentes!S$47)*100000</f>
        <v>0.89972705552870014</v>
      </c>
      <c r="T428" s="28">
        <f>(Fuentes!T1839/Fuentes!T$47)*100000</f>
        <v>1.1521014431384375</v>
      </c>
      <c r="U428" s="28">
        <f>(Fuentes!U1839/Fuentes!U$47)*100000</f>
        <v>0.75948461374111531</v>
      </c>
      <c r="V428" s="28">
        <f>(Fuentes!V1839/Fuentes!V$47)*100000</f>
        <v>1.7793597823961609</v>
      </c>
    </row>
    <row r="429" spans="1:22" s="14" customFormat="1" ht="12.75" x14ac:dyDescent="0.2">
      <c r="A429" s="28" t="s">
        <v>3198</v>
      </c>
      <c r="B429" s="29" t="s">
        <v>3415</v>
      </c>
      <c r="C429" s="29">
        <f>(Fuentes!C1840/Fuentes!C$47)*100000</f>
        <v>0</v>
      </c>
      <c r="D429" s="30">
        <f>(Fuentes!D1840/Fuentes!D$47)*100000</f>
        <v>0</v>
      </c>
      <c r="E429" s="35">
        <f>(Fuentes!E1840/Fuentes!E$47)*100000</f>
        <v>4.9721176074866168E-2</v>
      </c>
      <c r="F429" s="28">
        <f>(Fuentes!F1840/Fuentes!F$47)*100000</f>
        <v>0</v>
      </c>
      <c r="G429" s="28">
        <f>(Fuentes!G1840/Fuentes!G$47)*100000</f>
        <v>0</v>
      </c>
      <c r="H429" s="36">
        <f>(Fuentes!H1840/Fuentes!H$47)*100000</f>
        <v>0</v>
      </c>
      <c r="I429" s="28">
        <f>(Fuentes!I1840/Fuentes!I$47)*100000</f>
        <v>0</v>
      </c>
      <c r="J429" s="28">
        <f>(Fuentes!J1840/Fuentes!J$47)*100000</f>
        <v>0</v>
      </c>
      <c r="K429" s="28">
        <f>(Fuentes!K1840/Fuentes!K$47)*100000</f>
        <v>0</v>
      </c>
      <c r="L429" s="28">
        <f>(Fuentes!L1840/Fuentes!L$47)*100000</f>
        <v>2.237468331432604E-2</v>
      </c>
      <c r="M429" s="28">
        <f>(Fuentes!M1840/Fuentes!M$47)*100000</f>
        <v>4.4112191418678955E-2</v>
      </c>
      <c r="N429" s="28">
        <f>(Fuentes!N1840/Fuentes!N$47)*100000</f>
        <v>2.1776306376951781E-2</v>
      </c>
      <c r="O429" s="28">
        <f>(Fuentes!O1840/Fuentes!O$47)*100000</f>
        <v>4.2988093802599964E-2</v>
      </c>
      <c r="P429" s="28">
        <f>(Fuentes!P1840/Fuentes!P$47)*100000</f>
        <v>0</v>
      </c>
      <c r="Q429" s="28">
        <f>(Fuentes!Q1840/Fuentes!Q$47)*100000</f>
        <v>2.095066140190513E-2</v>
      </c>
      <c r="R429" s="28">
        <f>(Fuentes!R1840/Fuentes!R$47)*100000</f>
        <v>0</v>
      </c>
      <c r="S429" s="28">
        <f>(Fuentes!S1840/Fuentes!S$47)*100000</f>
        <v>4.0896684342213642E-2</v>
      </c>
      <c r="T429" s="28">
        <f>(Fuentes!T1840/Fuentes!T$47)*100000</f>
        <v>0</v>
      </c>
      <c r="U429" s="28">
        <f>(Fuentes!U1840/Fuentes!U$47)*100000</f>
        <v>0</v>
      </c>
      <c r="V429" s="28">
        <f>(Fuentes!V1840/Fuentes!V$47)*100000</f>
        <v>0</v>
      </c>
    </row>
    <row r="430" spans="1:22" s="14" customFormat="1" ht="12.75" x14ac:dyDescent="0.2">
      <c r="A430" s="28" t="s">
        <v>3198</v>
      </c>
      <c r="B430" s="29" t="s">
        <v>3416</v>
      </c>
      <c r="C430" s="29">
        <f>(Fuentes!C1841/Fuentes!C$47)*100000</f>
        <v>0</v>
      </c>
      <c r="D430" s="30">
        <f>(Fuentes!D1841/Fuentes!D$47)*100000</f>
        <v>0.12647363922584981</v>
      </c>
      <c r="E430" s="35">
        <f>(Fuentes!E1841/Fuentes!E$47)*100000</f>
        <v>7.4581764112299248E-2</v>
      </c>
      <c r="F430" s="28">
        <f>(Fuentes!F1841/Fuentes!F$47)*100000</f>
        <v>0</v>
      </c>
      <c r="G430" s="28">
        <f>(Fuentes!G1841/Fuentes!G$47)*100000</f>
        <v>9.6343220797225709E-2</v>
      </c>
      <c r="H430" s="28">
        <f>(Fuentes!H1841/Fuentes!H$47)*100000</f>
        <v>0</v>
      </c>
      <c r="I430" s="28">
        <f>(Fuentes!I1841/Fuentes!I$47)*100000</f>
        <v>4.6743650342537468E-2</v>
      </c>
      <c r="J430" s="28">
        <f>(Fuentes!J1841/Fuentes!J$47)*100000</f>
        <v>2.3039404293162594E-2</v>
      </c>
      <c r="K430" s="28">
        <f>(Fuentes!K1841/Fuentes!K$47)*100000</f>
        <v>4.5412332627171564E-2</v>
      </c>
      <c r="L430" s="28">
        <f>(Fuentes!L1841/Fuentes!L$47)*100000</f>
        <v>8.9498733257304161E-2</v>
      </c>
      <c r="M430" s="28">
        <f>(Fuentes!M1841/Fuentes!M$47)*100000</f>
        <v>6.6168287128018421E-2</v>
      </c>
      <c r="N430" s="36">
        <f>(Fuentes!N1841/Fuentes!N$47)*100000</f>
        <v>6.5328919130855354E-2</v>
      </c>
      <c r="O430" s="28">
        <f>(Fuentes!O1841/Fuentes!O$47)*100000</f>
        <v>8.5976187605199927E-2</v>
      </c>
      <c r="P430" s="28">
        <f>(Fuentes!P1841/Fuentes!P$47)*100000</f>
        <v>0.12730301767559965</v>
      </c>
      <c r="Q430" s="28">
        <f>(Fuentes!Q1841/Fuentes!Q$47)*100000</f>
        <v>4.1901322803810259E-2</v>
      </c>
      <c r="R430" s="28">
        <f>(Fuentes!R1841/Fuentes!R$47)*100000</f>
        <v>2.069439204739347E-2</v>
      </c>
      <c r="S430" s="28">
        <f>(Fuentes!S1841/Fuentes!S$47)*100000</f>
        <v>8.1793368684427284E-2</v>
      </c>
      <c r="T430" s="28">
        <f>(Fuentes!T1841/Fuentes!T$47)*100000</f>
        <v>4.0424612039945178E-2</v>
      </c>
      <c r="U430" s="28">
        <f>(Fuentes!U1841/Fuentes!U$47)*100000</f>
        <v>3.9972874407427118E-2</v>
      </c>
      <c r="V430" s="28">
        <f>(Fuentes!V1841/Fuentes!V$47)*100000</f>
        <v>1.9770664248846232E-2</v>
      </c>
    </row>
    <row r="431" spans="1:22" s="14" customFormat="1" ht="12.75" x14ac:dyDescent="0.2">
      <c r="A431" s="28" t="s">
        <v>3198</v>
      </c>
      <c r="B431" s="29" t="s">
        <v>3417</v>
      </c>
      <c r="C431" s="29">
        <f>(Fuentes!C1842/Fuentes!C$47)*100000</f>
        <v>1.0329647456879534</v>
      </c>
      <c r="D431" s="30">
        <f>(Fuentes!D1842/Fuentes!D$47)*100000</f>
        <v>1.264736392258498</v>
      </c>
      <c r="E431" s="35">
        <f>(Fuentes!E1842/Fuentes!E$47)*100000</f>
        <v>0.84525999327272483</v>
      </c>
      <c r="F431" s="28">
        <f>(Fuentes!F1842/Fuentes!F$47)*100000</f>
        <v>1.0522696600067785</v>
      </c>
      <c r="G431" s="28">
        <f>(Fuentes!G1842/Fuentes!G$47)*100000</f>
        <v>1.083861233968789</v>
      </c>
      <c r="H431" s="36">
        <f>(Fuentes!H1842/Fuentes!H$47)*100000</f>
        <v>1.1387230359874436</v>
      </c>
      <c r="I431" s="28">
        <f>(Fuentes!I1842/Fuentes!I$47)*100000</f>
        <v>0.91150118167948058</v>
      </c>
      <c r="J431" s="28">
        <f>(Fuentes!J1842/Fuentes!J$47)*100000</f>
        <v>0.82941855455385338</v>
      </c>
      <c r="K431" s="28">
        <f>(Fuentes!K1842/Fuentes!K$47)*100000</f>
        <v>0.63577265678040185</v>
      </c>
      <c r="L431" s="28">
        <f>(Fuentes!L1842/Fuentes!L$47)*100000</f>
        <v>0.89498733257304164</v>
      </c>
      <c r="M431" s="28">
        <f>(Fuentes!M1842/Fuentes!M$47)*100000</f>
        <v>0.70579506269886327</v>
      </c>
      <c r="N431" s="28">
        <f>(Fuentes!N1842/Fuentes!N$47)*100000</f>
        <v>0.56618396580074637</v>
      </c>
      <c r="O431" s="28">
        <f>(Fuentes!O1842/Fuentes!O$47)*100000</f>
        <v>0.66631545394029945</v>
      </c>
      <c r="P431" s="28">
        <f>(Fuentes!P1842/Fuentes!P$47)*100000</f>
        <v>0.7001665972157981</v>
      </c>
      <c r="Q431" s="28">
        <f>(Fuentes!Q1842/Fuentes!Q$47)*100000</f>
        <v>0.69137182626286919</v>
      </c>
      <c r="R431" s="28">
        <f>(Fuentes!R1842/Fuentes!R$47)*100000</f>
        <v>0.57944297732701711</v>
      </c>
      <c r="S431" s="28">
        <f>(Fuentes!S1842/Fuentes!S$47)*100000</f>
        <v>0.65434694947541827</v>
      </c>
      <c r="T431" s="28">
        <f>(Fuentes!T1842/Fuentes!T$47)*100000</f>
        <v>0.58615687457920507</v>
      </c>
      <c r="U431" s="28">
        <f>(Fuentes!U1842/Fuentes!U$47)*100000</f>
        <v>0.61957955331512038</v>
      </c>
      <c r="V431" s="28">
        <f>(Fuentes!V1842/Fuentes!V$47)*100000</f>
        <v>0.3558719564792322</v>
      </c>
    </row>
    <row r="432" spans="1:22" s="14" customFormat="1" ht="12.75" x14ac:dyDescent="0.2">
      <c r="A432" s="28" t="s">
        <v>3198</v>
      </c>
      <c r="B432" s="29" t="s">
        <v>3418</v>
      </c>
      <c r="C432" s="29">
        <f>(Fuentes!C1843/Fuentes!C$47)*100000</f>
        <v>6.8950396774670883</v>
      </c>
      <c r="D432" s="30">
        <f>(Fuentes!D1843/Fuentes!D$47)*100000</f>
        <v>9.0302178407256761</v>
      </c>
      <c r="E432" s="35">
        <f>(Fuentes!E1843/Fuentes!E$47)*100000</f>
        <v>11.957942846005313</v>
      </c>
      <c r="F432" s="28">
        <f>(Fuentes!F1843/Fuentes!F$47)*100000</f>
        <v>13.752919742414177</v>
      </c>
      <c r="G432" s="28">
        <f>(Fuentes!G1843/Fuentes!G$47)*100000</f>
        <v>17.799410042287448</v>
      </c>
      <c r="H432" s="28">
        <f>(Fuentes!H1843/Fuentes!H$47)*100000</f>
        <v>13.49861265576782</v>
      </c>
      <c r="I432" s="28">
        <f>(Fuentes!I1843/Fuentes!I$47)*100000</f>
        <v>12.784388368683997</v>
      </c>
      <c r="J432" s="28">
        <f>(Fuentes!J1843/Fuentes!J$47)*100000</f>
        <v>15.874149557989028</v>
      </c>
      <c r="K432" s="28">
        <f>(Fuentes!K1843/Fuentes!K$47)*100000</f>
        <v>4.8137072584801857</v>
      </c>
      <c r="L432" s="28">
        <f>(Fuentes!L1843/Fuentes!L$47)*100000</f>
        <v>11.232091023791671</v>
      </c>
      <c r="M432" s="28">
        <f>(Fuentes!M1843/Fuentes!M$47)*100000</f>
        <v>20.225439765464301</v>
      </c>
      <c r="N432" s="36">
        <f>(Fuentes!N1843/Fuentes!N$47)*100000</f>
        <v>20.861701509119808</v>
      </c>
      <c r="O432" s="28">
        <f>(Fuentes!O1843/Fuentes!O$47)*100000</f>
        <v>14.809398314995686</v>
      </c>
      <c r="P432" s="28">
        <f>(Fuentes!P1843/Fuentes!P$47)*100000</f>
        <v>20.071442453519548</v>
      </c>
      <c r="Q432" s="28">
        <f>(Fuentes!Q1843/Fuentes!Q$47)*100000</f>
        <v>21.893441164990858</v>
      </c>
      <c r="R432" s="28">
        <f>(Fuentes!R1843/Fuentes!R$47)*100000</f>
        <v>17.693705200521414</v>
      </c>
      <c r="S432" s="28">
        <f>(Fuentes!S1843/Fuentes!S$47)*100000</f>
        <v>19.528166773407012</v>
      </c>
      <c r="T432" s="28">
        <f>(Fuentes!T1843/Fuentes!T$47)*100000</f>
        <v>21.182496708931275</v>
      </c>
      <c r="U432" s="28">
        <f>(Fuentes!U1843/Fuentes!U$47)*100000</f>
        <v>20.386165947787831</v>
      </c>
      <c r="V432" s="28">
        <f>(Fuentes!V1843/Fuentes!V$47)*100000</f>
        <v>21.31277606025624</v>
      </c>
    </row>
    <row r="433" spans="1:22" s="14" customFormat="1" ht="12.75" x14ac:dyDescent="0.2">
      <c r="A433" s="28" t="s">
        <v>3198</v>
      </c>
      <c r="B433" s="29" t="s">
        <v>3419</v>
      </c>
      <c r="C433" s="29">
        <f>(Fuentes!C1844/Fuentes!C$47)*100000</f>
        <v>5.3972407962195561</v>
      </c>
      <c r="D433" s="30">
        <f>(Fuentes!D1844/Fuentes!D$47)*100000</f>
        <v>5.1854192082598418</v>
      </c>
      <c r="E433" s="35">
        <f>(Fuentes!E1844/Fuentes!E$47)*100000</f>
        <v>8.576902872914415</v>
      </c>
      <c r="F433" s="28">
        <f>(Fuentes!F1844/Fuentes!F$47)*100000</f>
        <v>6.044432698178472</v>
      </c>
      <c r="G433" s="28">
        <f>(Fuentes!G1844/Fuentes!G$47)*100000</f>
        <v>4.7689894294626729</v>
      </c>
      <c r="H433" s="36">
        <f>(Fuentes!H1844/Fuentes!H$47)*100000</f>
        <v>4.2702113849529137</v>
      </c>
      <c r="I433" s="28">
        <f>(Fuentes!I1844/Fuentes!I$47)*100000</f>
        <v>3.4590301253477729</v>
      </c>
      <c r="J433" s="28">
        <f>(Fuentes!J1844/Fuentes!J$47)*100000</f>
        <v>2.8799255366453242</v>
      </c>
      <c r="K433" s="28">
        <f>(Fuentes!K1844/Fuentes!K$47)*100000</f>
        <v>2.4749721281808501</v>
      </c>
      <c r="L433" s="28">
        <f>(Fuentes!L1844/Fuentes!L$47)*100000</f>
        <v>3.9826936299500351</v>
      </c>
      <c r="M433" s="28">
        <f>(Fuentes!M1844/Fuentes!M$47)*100000</f>
        <v>5.624304405881567</v>
      </c>
      <c r="N433" s="28">
        <f>(Fuentes!N1844/Fuentes!N$47)*100000</f>
        <v>6.1409183983004025</v>
      </c>
      <c r="O433" s="28">
        <f>(Fuentes!O1844/Fuentes!O$47)*100000</f>
        <v>7.3294699933432943</v>
      </c>
      <c r="P433" s="28">
        <f>(Fuentes!P1844/Fuentes!P$47)*100000</f>
        <v>1.4427675336567962</v>
      </c>
      <c r="Q433" s="28">
        <f>(Fuentes!Q1844/Fuentes!Q$47)*100000</f>
        <v>1.8436582033676512</v>
      </c>
      <c r="R433" s="28">
        <f>(Fuentes!R1844/Fuentes!R$47)*100000</f>
        <v>2.6281877900189707</v>
      </c>
      <c r="S433" s="28">
        <f>(Fuentes!S1844/Fuentes!S$47)*100000</f>
        <v>0.47031186993545687</v>
      </c>
      <c r="T433" s="28">
        <f>(Fuentes!T1844/Fuentes!T$47)*100000</f>
        <v>2.4659013344366558</v>
      </c>
      <c r="U433" s="28">
        <f>(Fuentes!U1844/Fuentes!U$47)*100000</f>
        <v>6.8753343980774648</v>
      </c>
      <c r="V433" s="28">
        <f>(Fuentes!V1844/Fuentes!V$47)*100000</f>
        <v>6.3661538881284878</v>
      </c>
    </row>
    <row r="434" spans="1:22" s="14" customFormat="1" ht="12.75" x14ac:dyDescent="0.2">
      <c r="A434" s="28" t="s">
        <v>3198</v>
      </c>
      <c r="B434" s="29" t="s">
        <v>3420</v>
      </c>
      <c r="C434" s="29">
        <f>(Fuentes!C1845/Fuentes!C$47)*100000</f>
        <v>0</v>
      </c>
      <c r="D434" s="30">
        <f>(Fuentes!D1845/Fuentes!D$47)*100000</f>
        <v>0</v>
      </c>
      <c r="E434" s="35">
        <f>(Fuentes!E1845/Fuentes!E$47)*100000</f>
        <v>0</v>
      </c>
      <c r="F434" s="28">
        <f>(Fuentes!F1845/Fuentes!F$47)*100000</f>
        <v>0</v>
      </c>
      <c r="G434" s="28">
        <f>(Fuentes!G1845/Fuentes!G$47)*100000</f>
        <v>0</v>
      </c>
      <c r="H434" s="28">
        <f>(Fuentes!H1845/Fuentes!H$47)*100000</f>
        <v>0</v>
      </c>
      <c r="I434" s="28">
        <f>(Fuentes!I1845/Fuentes!I$47)*100000</f>
        <v>0</v>
      </c>
      <c r="J434" s="28">
        <f>(Fuentes!J1845/Fuentes!J$47)*100000</f>
        <v>0</v>
      </c>
      <c r="K434" s="28">
        <f>(Fuentes!K1845/Fuentes!K$47)*100000</f>
        <v>0</v>
      </c>
      <c r="L434" s="28">
        <f>(Fuentes!L1845/Fuentes!L$47)*100000</f>
        <v>0</v>
      </c>
      <c r="M434" s="28">
        <f>(Fuentes!M1845/Fuentes!M$47)*100000</f>
        <v>0</v>
      </c>
      <c r="N434" s="36">
        <f>(Fuentes!N1845/Fuentes!N$47)*100000</f>
        <v>0</v>
      </c>
      <c r="O434" s="28">
        <f>(Fuentes!O1845/Fuentes!O$47)*100000</f>
        <v>0</v>
      </c>
      <c r="P434" s="28">
        <f>(Fuentes!P1845/Fuentes!P$47)*100000</f>
        <v>0</v>
      </c>
      <c r="Q434" s="28">
        <f>(Fuentes!Q1845/Fuentes!Q$47)*100000</f>
        <v>6.2851984205715389E-2</v>
      </c>
      <c r="R434" s="28">
        <f>(Fuentes!R1845/Fuentes!R$47)*100000</f>
        <v>0.14486074433175428</v>
      </c>
      <c r="S434" s="28">
        <f>(Fuentes!S1845/Fuentes!S$47)*100000</f>
        <v>0.28627679039549547</v>
      </c>
      <c r="T434" s="28">
        <f>(Fuentes!T1845/Fuentes!T$47)*100000</f>
        <v>0.9701906889586841</v>
      </c>
      <c r="U434" s="28">
        <f>(Fuentes!U1845/Fuentes!U$47)*100000</f>
        <v>1.678860725111939</v>
      </c>
      <c r="V434" s="28">
        <f>(Fuentes!V1845/Fuentes!V$47)*100000</f>
        <v>0.81059723420269558</v>
      </c>
    </row>
    <row r="435" spans="1:22" s="14" customFormat="1" ht="12.75" x14ac:dyDescent="0.2">
      <c r="A435" s="28" t="s">
        <v>3198</v>
      </c>
      <c r="B435" s="29" t="s">
        <v>3421</v>
      </c>
      <c r="C435" s="29">
        <f>(Fuentes!C1846/Fuentes!C$47)*100000</f>
        <v>0.54230649148617549</v>
      </c>
      <c r="D435" s="30">
        <f>(Fuentes!D1846/Fuentes!D$47)*100000</f>
        <v>0.53118928474856908</v>
      </c>
      <c r="E435" s="35">
        <f>(Fuentes!E1846/Fuentes!E$47)*100000</f>
        <v>1.6407988104705835</v>
      </c>
      <c r="F435" s="28">
        <f>(Fuentes!F1846/Fuentes!F$47)*100000</f>
        <v>0.61178468605045266</v>
      </c>
      <c r="G435" s="28">
        <f>(Fuentes!G1846/Fuentes!G$47)*100000</f>
        <v>0.38537288318890284</v>
      </c>
      <c r="H435" s="36">
        <f>(Fuentes!H1846/Fuentes!H$47)*100000</f>
        <v>0.28468075899686091</v>
      </c>
      <c r="I435" s="28">
        <f>(Fuentes!I1846/Fuentes!I$47)*100000</f>
        <v>0.39732102791156854</v>
      </c>
      <c r="J435" s="28">
        <f>(Fuentes!J1846/Fuentes!J$47)*100000</f>
        <v>0.34559106439743892</v>
      </c>
      <c r="K435" s="28">
        <f>(Fuentes!K1846/Fuentes!K$47)*100000</f>
        <v>0.45412332627171559</v>
      </c>
      <c r="L435" s="28">
        <f>(Fuentes!L1846/Fuentes!L$47)*100000</f>
        <v>0.42511898297219475</v>
      </c>
      <c r="M435" s="28">
        <f>(Fuentes!M1846/Fuentes!M$47)*100000</f>
        <v>0.39700972276811058</v>
      </c>
      <c r="N435" s="28">
        <f>(Fuentes!N1846/Fuentes!N$47)*100000</f>
        <v>0.30486828927732496</v>
      </c>
      <c r="O435" s="28">
        <f>(Fuentes!O1846/Fuentes!O$47)*100000</f>
        <v>0.36539879732209968</v>
      </c>
      <c r="P435" s="28">
        <f>(Fuentes!P1846/Fuentes!P$47)*100000</f>
        <v>0.3394747138015991</v>
      </c>
      <c r="Q435" s="28">
        <f>(Fuentes!Q1846/Fuentes!Q$47)*100000</f>
        <v>0.37711190523429228</v>
      </c>
      <c r="R435" s="28">
        <f>(Fuentes!R1846/Fuentes!R$47)*100000</f>
        <v>0.16555513637914776</v>
      </c>
      <c r="S435" s="28">
        <f>(Fuentes!S1846/Fuentes!S$47)*100000</f>
        <v>0.47031186993545687</v>
      </c>
      <c r="T435" s="28">
        <f>(Fuentes!T1846/Fuentes!T$47)*100000</f>
        <v>0.34360920233953401</v>
      </c>
      <c r="U435" s="28">
        <f>(Fuentes!U1846/Fuentes!U$47)*100000</f>
        <v>0.17987793483342204</v>
      </c>
      <c r="V435" s="28">
        <f>(Fuentes!V1846/Fuentes!V$47)*100000</f>
        <v>0.1779359782396161</v>
      </c>
    </row>
    <row r="436" spans="1:22" s="14" customFormat="1" ht="12.75" x14ac:dyDescent="0.2">
      <c r="A436" s="28" t="s">
        <v>3198</v>
      </c>
      <c r="B436" s="29" t="s">
        <v>3422</v>
      </c>
      <c r="C436" s="29">
        <f>(Fuentes!C1847/Fuentes!C$47)*100000</f>
        <v>0.20659294913759063</v>
      </c>
      <c r="D436" s="30">
        <f>(Fuentes!D1847/Fuentes!D$47)*100000</f>
        <v>0.12647363922584981</v>
      </c>
      <c r="E436" s="35">
        <f>(Fuentes!E1847/Fuentes!E$47)*100000</f>
        <v>0.19888470429946467</v>
      </c>
      <c r="F436" s="28">
        <f>(Fuentes!F1847/Fuentes!F$47)*100000</f>
        <v>0.24471387442018105</v>
      </c>
      <c r="G436" s="28">
        <f>(Fuentes!G1847/Fuentes!G$47)*100000</f>
        <v>0.12042902599653213</v>
      </c>
      <c r="H436" s="28">
        <f>(Fuentes!H1847/Fuentes!H$47)*100000</f>
        <v>0.18978717266457393</v>
      </c>
      <c r="I436" s="28">
        <f>(Fuentes!I1847/Fuentes!I$47)*100000</f>
        <v>0.28046190205522481</v>
      </c>
      <c r="J436" s="28">
        <f>(Fuentes!J1847/Fuentes!J$47)*100000</f>
        <v>0.41470927727692669</v>
      </c>
      <c r="K436" s="28">
        <f>(Fuentes!K1847/Fuentes!K$47)*100000</f>
        <v>0.24976782944944356</v>
      </c>
      <c r="L436" s="28">
        <f>(Fuentes!L1847/Fuentes!L$47)*100000</f>
        <v>0.17899746651460832</v>
      </c>
      <c r="M436" s="28">
        <f>(Fuentes!M1847/Fuentes!M$47)*100000</f>
        <v>0.19850486138405529</v>
      </c>
      <c r="N436" s="36">
        <f>(Fuentes!N1847/Fuentes!N$47)*100000</f>
        <v>0.15243414463866248</v>
      </c>
      <c r="O436" s="28">
        <f>(Fuentes!O1847/Fuentes!O$47)*100000</f>
        <v>0.30091665661819972</v>
      </c>
      <c r="P436" s="28">
        <f>(Fuentes!P1847/Fuentes!P$47)*100000</f>
        <v>0.21217169612599943</v>
      </c>
      <c r="Q436" s="28">
        <f>(Fuentes!Q1847/Fuentes!Q$47)*100000</f>
        <v>0.18855595261714614</v>
      </c>
      <c r="R436" s="28">
        <f>(Fuentes!R1847/Fuentes!R$47)*100000</f>
        <v>0.24833270456872161</v>
      </c>
      <c r="S436" s="28">
        <f>(Fuentes!S1847/Fuentes!S$47)*100000</f>
        <v>0.1022417108555341</v>
      </c>
      <c r="T436" s="28">
        <f>(Fuentes!T1847/Fuentes!T$47)*100000</f>
        <v>0.10106153009986293</v>
      </c>
      <c r="U436" s="28">
        <f>(Fuentes!U1847/Fuentes!U$47)*100000</f>
        <v>0.21985080924084918</v>
      </c>
      <c r="V436" s="28">
        <f>(Fuentes!V1847/Fuentes!V$47)*100000</f>
        <v>0.19770664248846231</v>
      </c>
    </row>
    <row r="437" spans="1:22" s="14" customFormat="1" ht="12.75" x14ac:dyDescent="0.2">
      <c r="A437" s="28" t="s">
        <v>3198</v>
      </c>
      <c r="B437" s="29" t="s">
        <v>3423</v>
      </c>
      <c r="C437" s="29">
        <f>(Fuentes!C1848/Fuentes!C$47)*100000</f>
        <v>3.3313113048436489</v>
      </c>
      <c r="D437" s="30">
        <f>(Fuentes!D1848/Fuentes!D$47)*100000</f>
        <v>3.9965669995368533</v>
      </c>
      <c r="E437" s="35">
        <f>(Fuentes!E1848/Fuentes!E$47)*100000</f>
        <v>3.5053429132780654</v>
      </c>
      <c r="F437" s="28">
        <f>(Fuentes!F1848/Fuentes!F$47)*100000</f>
        <v>5.9220757609683812</v>
      </c>
      <c r="G437" s="28">
        <f>(Fuentes!G1848/Fuentes!G$47)*100000</f>
        <v>6.1659661310224454</v>
      </c>
      <c r="H437" s="36">
        <f>(Fuentes!H1848/Fuentes!H$47)*100000</f>
        <v>3.8906370396237659</v>
      </c>
      <c r="I437" s="28">
        <f>(Fuentes!I1848/Fuentes!I$47)*100000</f>
        <v>2.5942725940108295</v>
      </c>
      <c r="J437" s="28">
        <f>(Fuentes!J1848/Fuentes!J$47)*100000</f>
        <v>2.4191374507820727</v>
      </c>
      <c r="K437" s="28">
        <f>(Fuentes!K1848/Fuentes!K$47)*100000</f>
        <v>2.2933227976721642</v>
      </c>
      <c r="L437" s="28">
        <f>(Fuentes!L1848/Fuentes!L$47)*100000</f>
        <v>3.7813214801211008</v>
      </c>
      <c r="M437" s="28">
        <f>(Fuentes!M1848/Fuentes!M$47)*100000</f>
        <v>2.6687875808300769</v>
      </c>
      <c r="N437" s="28">
        <f>(Fuentes!N1848/Fuentes!N$47)*100000</f>
        <v>2.6784856843650693</v>
      </c>
      <c r="O437" s="28">
        <f>(Fuentes!O1848/Fuentes!O$47)*100000</f>
        <v>1.5905594706961987</v>
      </c>
      <c r="P437" s="28">
        <f>(Fuentes!P1848/Fuentes!P$47)*100000</f>
        <v>1.527636212107196</v>
      </c>
      <c r="Q437" s="28">
        <f>(Fuentes!Q1848/Fuentes!Q$47)*100000</f>
        <v>1.4036943139276434</v>
      </c>
      <c r="R437" s="28">
        <f>(Fuentes!R1848/Fuentes!R$47)*100000</f>
        <v>1.6555513637914776</v>
      </c>
      <c r="S437" s="28">
        <f>(Fuentes!S1848/Fuentes!S$47)*100000</f>
        <v>2.4333527183617116</v>
      </c>
      <c r="T437" s="28">
        <f>(Fuentes!T1848/Fuentes!T$47)*100000</f>
        <v>1.5967721755778344</v>
      </c>
      <c r="U437" s="28">
        <f>(Fuentes!U1848/Fuentes!U$47)*100000</f>
        <v>1.7987793483342203</v>
      </c>
      <c r="V437" s="28">
        <f>(Fuentes!V1848/Fuentes!V$47)*100000</f>
        <v>1.5223411471611599</v>
      </c>
    </row>
    <row r="438" spans="1:22" s="14" customFormat="1" ht="12.75" x14ac:dyDescent="0.2">
      <c r="A438" s="28" t="s">
        <v>3198</v>
      </c>
      <c r="B438" s="29" t="s">
        <v>3424</v>
      </c>
      <c r="C438" s="29">
        <f>(Fuentes!C1849/Fuentes!C$47)*100000</f>
        <v>27.838399896290337</v>
      </c>
      <c r="D438" s="30">
        <f>(Fuentes!D1849/Fuentes!D$47)*100000</f>
        <v>25.876506585608869</v>
      </c>
      <c r="E438" s="35">
        <f>(Fuentes!E1849/Fuentes!E$47)*100000</f>
        <v>26.103617439304738</v>
      </c>
      <c r="F438" s="28">
        <f>(Fuentes!F1849/Fuentes!F$47)*100000</f>
        <v>25.572599876908924</v>
      </c>
      <c r="G438" s="28">
        <f>(Fuentes!G1849/Fuentes!G$47)*100000</f>
        <v>28.975223654765632</v>
      </c>
      <c r="H438" s="28">
        <f>(Fuentes!H1849/Fuentes!H$47)*100000</f>
        <v>27.139565691034075</v>
      </c>
      <c r="I438" s="28">
        <f>(Fuentes!I1849/Fuentes!I$47)*100000</f>
        <v>22.5771831154456</v>
      </c>
      <c r="J438" s="28">
        <f>(Fuentes!J1849/Fuentes!J$47)*100000</f>
        <v>21.564882418400188</v>
      </c>
      <c r="K438" s="28">
        <f>(Fuentes!K1849/Fuentes!K$47)*100000</f>
        <v>24.15936095765527</v>
      </c>
      <c r="L438" s="28">
        <f>(Fuentes!L1849/Fuentes!L$47)*100000</f>
        <v>31.369306006685111</v>
      </c>
      <c r="M438" s="28">
        <f>(Fuentes!M1849/Fuentes!M$47)*100000</f>
        <v>29.488999963386878</v>
      </c>
      <c r="N438" s="36">
        <f>(Fuentes!N1849/Fuentes!N$47)*100000</f>
        <v>37.237483904587549</v>
      </c>
      <c r="O438" s="28">
        <f>(Fuentes!O1849/Fuentes!O$47)*100000</f>
        <v>60.505742027159442</v>
      </c>
      <c r="P438" s="28">
        <f>(Fuentes!P1849/Fuentes!P$47)*100000</f>
        <v>69.613533498940413</v>
      </c>
      <c r="Q438" s="28">
        <f>(Fuentes!Q1849/Fuentes!Q$47)*100000</f>
        <v>73.830130780313667</v>
      </c>
      <c r="R438" s="28">
        <f>(Fuentes!R1849/Fuentes!R$47)*100000</f>
        <v>73.196064671630694</v>
      </c>
      <c r="S438" s="28">
        <f>(Fuentes!S1849/Fuentes!S$47)*100000</f>
        <v>76.579041430795044</v>
      </c>
      <c r="T438" s="28">
        <f>(Fuentes!T1849/Fuentes!T$47)*100000</f>
        <v>76.725913651815944</v>
      </c>
      <c r="U438" s="28">
        <f>(Fuentes!U1849/Fuentes!U$47)*100000</f>
        <v>70.1523945850346</v>
      </c>
      <c r="V438" s="28">
        <f>(Fuentes!V1849/Fuentes!V$47)*100000</f>
        <v>77.243985220242237</v>
      </c>
    </row>
    <row r="439" spans="1:22" s="14" customFormat="1" ht="12.75" x14ac:dyDescent="0.2">
      <c r="A439" s="28" t="s">
        <v>3198</v>
      </c>
      <c r="B439" s="29" t="s">
        <v>3425</v>
      </c>
      <c r="C439" s="29">
        <f>(Fuentes!C1850/Fuentes!C$47)*100000</f>
        <v>0.23241706777978949</v>
      </c>
      <c r="D439" s="30">
        <f>(Fuentes!D1850/Fuentes!D$47)*100000</f>
        <v>0</v>
      </c>
      <c r="E439" s="35">
        <f>(Fuentes!E1850/Fuentes!E$47)*100000</f>
        <v>0</v>
      </c>
      <c r="F439" s="28">
        <f>(Fuentes!F1850/Fuentes!F$47)*100000</f>
        <v>0</v>
      </c>
      <c r="G439" s="28">
        <f>(Fuentes!G1850/Fuentes!G$47)*100000</f>
        <v>2.4085805199306427E-2</v>
      </c>
      <c r="H439" s="36">
        <f>(Fuentes!H1850/Fuentes!H$47)*100000</f>
        <v>0</v>
      </c>
      <c r="I439" s="28">
        <f>(Fuentes!I1850/Fuentes!I$47)*100000</f>
        <v>0</v>
      </c>
      <c r="J439" s="28">
        <f>(Fuentes!J1850/Fuentes!J$47)*100000</f>
        <v>0</v>
      </c>
      <c r="K439" s="28">
        <f>(Fuentes!K1850/Fuentes!K$47)*100000</f>
        <v>4.5412332627171564E-2</v>
      </c>
      <c r="L439" s="28">
        <f>(Fuentes!L1850/Fuentes!L$47)*100000</f>
        <v>0</v>
      </c>
      <c r="M439" s="28">
        <f>(Fuentes!M1850/Fuentes!M$47)*100000</f>
        <v>0</v>
      </c>
      <c r="N439" s="28">
        <f>(Fuentes!N1850/Fuentes!N$47)*100000</f>
        <v>2.1776306376951781E-2</v>
      </c>
      <c r="O439" s="28">
        <f>(Fuentes!O1850/Fuentes!O$47)*100000</f>
        <v>0</v>
      </c>
      <c r="P439" s="28">
        <f>(Fuentes!P1850/Fuentes!P$47)*100000</f>
        <v>0</v>
      </c>
      <c r="Q439" s="28">
        <f>(Fuentes!Q1850/Fuentes!Q$47)*100000</f>
        <v>0</v>
      </c>
      <c r="R439" s="28">
        <f>(Fuentes!R1850/Fuentes!R$47)*100000</f>
        <v>2.069439204739347E-2</v>
      </c>
      <c r="S439" s="28">
        <f>(Fuentes!S1850/Fuentes!S$47)*100000</f>
        <v>0</v>
      </c>
      <c r="T439" s="28">
        <f>(Fuentes!T1850/Fuentes!T$47)*100000</f>
        <v>0</v>
      </c>
      <c r="U439" s="28">
        <f>(Fuentes!U1850/Fuentes!U$47)*100000</f>
        <v>0</v>
      </c>
      <c r="V439" s="28">
        <f>(Fuentes!V1850/Fuentes!V$47)*100000</f>
        <v>5.9311992746538693E-2</v>
      </c>
    </row>
    <row r="440" spans="1:22" s="14" customFormat="1" ht="12.75" x14ac:dyDescent="0.2">
      <c r="A440" s="28" t="s">
        <v>3198</v>
      </c>
      <c r="B440" s="29" t="s">
        <v>3426</v>
      </c>
      <c r="C440" s="29">
        <f>(Fuentes!C1851/Fuentes!C$47)*100000</f>
        <v>2.1950500845869003</v>
      </c>
      <c r="D440" s="30">
        <f>(Fuentes!D1851/Fuentes!D$47)*100000</f>
        <v>3.035367341420395</v>
      </c>
      <c r="E440" s="35">
        <f>(Fuentes!E1851/Fuentes!E$47)*100000</f>
        <v>2.7098040960802061</v>
      </c>
      <c r="F440" s="28">
        <f>(Fuentes!F1851/Fuentes!F$47)*100000</f>
        <v>2.1534820948975937</v>
      </c>
      <c r="G440" s="28">
        <f>(Fuentes!G1851/Fuentes!G$47)*100000</f>
        <v>2.432666325129949</v>
      </c>
      <c r="H440" s="28">
        <f>(Fuentes!H1851/Fuentes!H$47)*100000</f>
        <v>2.5858502275548201</v>
      </c>
      <c r="I440" s="28">
        <f>(Fuentes!I1851/Fuentes!I$47)*100000</f>
        <v>1.9164896640440363</v>
      </c>
      <c r="J440" s="28">
        <f>(Fuentes!J1851/Fuentes!J$47)*100000</f>
        <v>1.7740341305735199</v>
      </c>
      <c r="K440" s="28">
        <f>(Fuentes!K1851/Fuentes!K$47)*100000</f>
        <v>1.2942514798743896</v>
      </c>
      <c r="L440" s="28">
        <f>(Fuentes!L1851/Fuentes!L$47)*100000</f>
        <v>1.6333518819458008</v>
      </c>
      <c r="M440" s="28">
        <f>(Fuentes!M1851/Fuentes!M$47)*100000</f>
        <v>1.3233657425603687</v>
      </c>
      <c r="N440" s="36">
        <f>(Fuentes!N1851/Fuentes!N$47)*100000</f>
        <v>1.7203282037791909</v>
      </c>
      <c r="O440" s="28">
        <f>(Fuentes!O1851/Fuentes!O$47)*100000</f>
        <v>1.8269939866104985</v>
      </c>
      <c r="P440" s="28">
        <f>(Fuentes!P1851/Fuentes!P$47)*100000</f>
        <v>1.5912877209449958</v>
      </c>
      <c r="Q440" s="28">
        <f>(Fuentes!Q1851/Fuentes!Q$47)*100000</f>
        <v>1.7598555577600306</v>
      </c>
      <c r="R440" s="28">
        <f>(Fuentes!R1851/Fuentes!R$47)*100000</f>
        <v>1.2623579148910016</v>
      </c>
      <c r="S440" s="28">
        <f>(Fuentes!S1851/Fuentes!S$47)*100000</f>
        <v>1.594970689346332</v>
      </c>
      <c r="T440" s="28">
        <f>(Fuentes!T1851/Fuentes!T$47)*100000</f>
        <v>1.1318891371184649</v>
      </c>
      <c r="U440" s="28">
        <f>(Fuentes!U1851/Fuentes!U$47)*100000</f>
        <v>1.1791997950191002</v>
      </c>
      <c r="V440" s="28">
        <f>(Fuentes!V1851/Fuentes!V$47)*100000</f>
        <v>1.1466985264330816</v>
      </c>
    </row>
    <row r="441" spans="1:22" s="14" customFormat="1" ht="12.75" x14ac:dyDescent="0.2">
      <c r="A441" s="28" t="s">
        <v>3198</v>
      </c>
      <c r="B441" s="29" t="s">
        <v>3427</v>
      </c>
      <c r="C441" s="29">
        <f>(Fuentes!C1852/Fuentes!C$47)*100000</f>
        <v>0</v>
      </c>
      <c r="D441" s="30">
        <f>(Fuentes!D1852/Fuentes!D$47)*100000</f>
        <v>0</v>
      </c>
      <c r="E441" s="35">
        <f>(Fuentes!E1852/Fuentes!E$47)*100000</f>
        <v>0</v>
      </c>
      <c r="F441" s="28">
        <f>(Fuentes!F1852/Fuentes!F$47)*100000</f>
        <v>0</v>
      </c>
      <c r="G441" s="28">
        <f>(Fuentes!G1852/Fuentes!G$47)*100000</f>
        <v>0</v>
      </c>
      <c r="H441" s="36">
        <f>(Fuentes!H1852/Fuentes!H$47)*100000</f>
        <v>0</v>
      </c>
      <c r="I441" s="28">
        <f>(Fuentes!I1852/Fuentes!I$47)*100000</f>
        <v>0</v>
      </c>
      <c r="J441" s="28">
        <f>(Fuentes!J1852/Fuentes!J$47)*100000</f>
        <v>0</v>
      </c>
      <c r="K441" s="28">
        <f>(Fuentes!K1852/Fuentes!K$47)*100000</f>
        <v>0</v>
      </c>
      <c r="L441" s="28">
        <f>(Fuentes!L1852/Fuentes!L$47)*100000</f>
        <v>0</v>
      </c>
      <c r="M441" s="28">
        <f>(Fuentes!M1852/Fuentes!M$47)*100000</f>
        <v>0</v>
      </c>
      <c r="N441" s="28">
        <f>(Fuentes!N1852/Fuentes!N$47)*100000</f>
        <v>0</v>
      </c>
      <c r="O441" s="28">
        <f>(Fuentes!O1852/Fuentes!O$47)*100000</f>
        <v>0</v>
      </c>
      <c r="P441" s="28">
        <f>(Fuentes!P1852/Fuentes!P$47)*100000</f>
        <v>0</v>
      </c>
      <c r="Q441" s="28">
        <f>(Fuentes!Q1852/Fuentes!Q$47)*100000</f>
        <v>0</v>
      </c>
      <c r="R441" s="28">
        <f>(Fuentes!R1852/Fuentes!R$47)*100000</f>
        <v>0</v>
      </c>
      <c r="S441" s="28">
        <f>(Fuentes!S1852/Fuentes!S$47)*100000</f>
        <v>0</v>
      </c>
      <c r="T441" s="28">
        <f>(Fuentes!T1852/Fuentes!T$47)*100000</f>
        <v>4.0424612039945178E-2</v>
      </c>
      <c r="U441" s="28">
        <f>(Fuentes!U1852/Fuentes!U$47)*100000</f>
        <v>4.5968805568541189</v>
      </c>
      <c r="V441" s="28">
        <f>(Fuentes!V1852/Fuentes!V$47)*100000</f>
        <v>0</v>
      </c>
    </row>
    <row r="442" spans="1:22" s="14" customFormat="1" ht="12.75" x14ac:dyDescent="0.2">
      <c r="A442" s="28" t="s">
        <v>3198</v>
      </c>
      <c r="B442" s="29" t="s">
        <v>3428</v>
      </c>
      <c r="C442" s="29">
        <f>(Fuentes!C1853/Fuentes!C$47)*100000</f>
        <v>5.6554819826415441</v>
      </c>
      <c r="D442" s="30">
        <f>(Fuentes!D1853/Fuentes!D$47)*100000</f>
        <v>5.9695557714601097</v>
      </c>
      <c r="E442" s="35">
        <f>(Fuentes!E1853/Fuentes!E$47)*100000</f>
        <v>5.4444687801978455</v>
      </c>
      <c r="F442" s="28">
        <f>(Fuentes!F1853/Fuentes!F$47)*100000</f>
        <v>5.4326480121280198</v>
      </c>
      <c r="G442" s="28">
        <f>(Fuentes!G1853/Fuentes!G$47)*100000</f>
        <v>5.0098474814557363</v>
      </c>
      <c r="H442" s="28">
        <f>(Fuentes!H1853/Fuentes!H$47)*100000</f>
        <v>4.3413815747021287</v>
      </c>
      <c r="I442" s="28">
        <f>(Fuentes!I1853/Fuentes!I$47)*100000</f>
        <v>2.5007852933257548</v>
      </c>
      <c r="J442" s="28">
        <f>(Fuentes!J1853/Fuentes!J$47)*100000</f>
        <v>1.7740341305735199</v>
      </c>
      <c r="K442" s="28">
        <f>(Fuentes!K1853/Fuentes!K$47)*100000</f>
        <v>1.3850761451287326</v>
      </c>
      <c r="L442" s="28">
        <f>(Fuentes!L1853/Fuentes!L$47)*100000</f>
        <v>1.7452252985174312</v>
      </c>
      <c r="M442" s="28">
        <f>(Fuentes!M1853/Fuentes!M$47)*100000</f>
        <v>1.2792535511416896</v>
      </c>
      <c r="N442" s="36">
        <f>(Fuentes!N1853/Fuentes!N$47)*100000</f>
        <v>0.63151288493160163</v>
      </c>
      <c r="O442" s="28">
        <f>(Fuentes!O1853/Fuentes!O$47)*100000</f>
        <v>0.9027499698545991</v>
      </c>
      <c r="P442" s="28">
        <f>(Fuentes!P1853/Fuentes!P$47)*100000</f>
        <v>0.6152979187653983</v>
      </c>
      <c r="Q442" s="28">
        <f>(Fuentes!Q1853/Fuentes!Q$47)*100000</f>
        <v>0.56566785785143836</v>
      </c>
      <c r="R442" s="28">
        <f>(Fuentes!R1853/Fuentes!R$47)*100000</f>
        <v>0.49666540913744323</v>
      </c>
      <c r="S442" s="28">
        <f>(Fuentes!S1853/Fuentes!S$47)*100000</f>
        <v>0.34762181690881594</v>
      </c>
      <c r="T442" s="28">
        <f>(Fuentes!T1853/Fuentes!T$47)*100000</f>
        <v>0.42445842641942438</v>
      </c>
      <c r="U442" s="28">
        <f>(Fuentes!U1853/Fuentes!U$47)*100000</f>
        <v>0.5396338045002661</v>
      </c>
      <c r="V442" s="28">
        <f>(Fuentes!V1853/Fuentes!V$47)*100000</f>
        <v>0.45472527772346338</v>
      </c>
    </row>
    <row r="443" spans="1:22" s="14" customFormat="1" ht="12.75" x14ac:dyDescent="0.2">
      <c r="A443" s="28" t="s">
        <v>3198</v>
      </c>
      <c r="B443" s="29" t="s">
        <v>3429</v>
      </c>
      <c r="C443" s="29">
        <f>(Fuentes!C1854/Fuentes!C$47)*100000</f>
        <v>0.154944711853193</v>
      </c>
      <c r="D443" s="30">
        <f>(Fuentes!D1854/Fuentes!D$47)*100000</f>
        <v>5.0589455690339923E-2</v>
      </c>
      <c r="E443" s="35">
        <f>(Fuentes!E1854/Fuentes!E$47)*100000</f>
        <v>0.27346646841176392</v>
      </c>
      <c r="F443" s="28">
        <f>(Fuentes!F1854/Fuentes!F$47)*100000</f>
        <v>0.26918526186219921</v>
      </c>
      <c r="G443" s="28">
        <f>(Fuentes!G1854/Fuentes!G$47)*100000</f>
        <v>0.24085805199306426</v>
      </c>
      <c r="H443" s="36">
        <f>(Fuentes!H1854/Fuentes!H$47)*100000</f>
        <v>7.1170189749215226E-2</v>
      </c>
      <c r="I443" s="28">
        <f>(Fuentes!I1854/Fuentes!I$47)*100000</f>
        <v>7.0115475513806202E-2</v>
      </c>
      <c r="J443" s="28">
        <f>(Fuentes!J1854/Fuentes!J$47)*100000</f>
        <v>0.11519702146581298</v>
      </c>
      <c r="K443" s="28">
        <f>(Fuentes!K1854/Fuentes!K$47)*100000</f>
        <v>6.8118498940757347E-2</v>
      </c>
      <c r="L443" s="28">
        <f>(Fuentes!L1854/Fuentes!L$47)*100000</f>
        <v>0</v>
      </c>
      <c r="M443" s="28">
        <f>(Fuentes!M1854/Fuentes!M$47)*100000</f>
        <v>4.4112191418678955E-2</v>
      </c>
      <c r="N443" s="28">
        <f>(Fuentes!N1854/Fuentes!N$47)*100000</f>
        <v>0</v>
      </c>
      <c r="O443" s="28">
        <f>(Fuentes!O1854/Fuentes!O$47)*100000</f>
        <v>2.1494046901299982E-2</v>
      </c>
      <c r="P443" s="28">
        <f>(Fuentes!P1854/Fuentes!P$47)*100000</f>
        <v>0</v>
      </c>
      <c r="Q443" s="28">
        <f>(Fuentes!Q1854/Fuentes!Q$47)*100000</f>
        <v>2.095066140190513E-2</v>
      </c>
      <c r="R443" s="28">
        <f>(Fuentes!R1854/Fuentes!R$47)*100000</f>
        <v>0</v>
      </c>
      <c r="S443" s="28">
        <f>(Fuentes!S1854/Fuentes!S$47)*100000</f>
        <v>0</v>
      </c>
      <c r="T443" s="28">
        <f>(Fuentes!T1854/Fuentes!T$47)*100000</f>
        <v>0</v>
      </c>
      <c r="U443" s="28">
        <f>(Fuentes!U1854/Fuentes!U$47)*100000</f>
        <v>0</v>
      </c>
      <c r="V443" s="28">
        <f>(Fuentes!V1854/Fuentes!V$47)*100000</f>
        <v>0</v>
      </c>
    </row>
    <row r="444" spans="1:22" s="14" customFormat="1" ht="12.75" x14ac:dyDescent="0.2">
      <c r="A444" s="28" t="s">
        <v>3198</v>
      </c>
      <c r="B444" s="29" t="s">
        <v>3430</v>
      </c>
      <c r="C444" s="29">
        <f>(Fuentes!C1855/Fuentes!C$47)*100000</f>
        <v>0</v>
      </c>
      <c r="D444" s="30">
        <f>(Fuentes!D1855/Fuentes!D$47)*100000</f>
        <v>0</v>
      </c>
      <c r="E444" s="35">
        <f>(Fuentes!E1855/Fuentes!E$47)*100000</f>
        <v>0</v>
      </c>
      <c r="F444" s="28">
        <f>(Fuentes!F1855/Fuentes!F$47)*100000</f>
        <v>0</v>
      </c>
      <c r="G444" s="28">
        <f>(Fuentes!G1855/Fuentes!G$47)*100000</f>
        <v>0</v>
      </c>
      <c r="H444" s="28">
        <f>(Fuentes!H1855/Fuentes!H$47)*100000</f>
        <v>0</v>
      </c>
      <c r="I444" s="28">
        <f>(Fuentes!I1855/Fuentes!I$47)*100000</f>
        <v>0</v>
      </c>
      <c r="J444" s="28">
        <f>(Fuentes!J1855/Fuentes!J$47)*100000</f>
        <v>2.3039404293162594E-2</v>
      </c>
      <c r="K444" s="28">
        <f>(Fuentes!K1855/Fuentes!K$47)*100000</f>
        <v>4.5412332627171564E-2</v>
      </c>
      <c r="L444" s="28">
        <f>(Fuentes!L1855/Fuentes!L$47)*100000</f>
        <v>0</v>
      </c>
      <c r="M444" s="28">
        <f>(Fuentes!M1855/Fuentes!M$47)*100000</f>
        <v>6.6168287128018421E-2</v>
      </c>
      <c r="N444" s="36">
        <f>(Fuentes!N1855/Fuentes!N$47)*100000</f>
        <v>0</v>
      </c>
      <c r="O444" s="28">
        <f>(Fuentes!O1855/Fuentes!O$47)*100000</f>
        <v>4.2988093802599964E-2</v>
      </c>
      <c r="P444" s="28">
        <f>(Fuentes!P1855/Fuentes!P$47)*100000</f>
        <v>2.1217169612599944E-2</v>
      </c>
      <c r="Q444" s="28">
        <f>(Fuentes!Q1855/Fuentes!Q$47)*100000</f>
        <v>0</v>
      </c>
      <c r="R444" s="28">
        <f>(Fuentes!R1855/Fuentes!R$47)*100000</f>
        <v>2.069439204739347E-2</v>
      </c>
      <c r="S444" s="28">
        <f>(Fuentes!S1855/Fuentes!S$47)*100000</f>
        <v>2.0448342171106821E-2</v>
      </c>
      <c r="T444" s="28">
        <f>(Fuentes!T1855/Fuentes!T$47)*100000</f>
        <v>0</v>
      </c>
      <c r="U444" s="28">
        <f>(Fuentes!U1855/Fuentes!U$47)*100000</f>
        <v>0</v>
      </c>
      <c r="V444" s="28">
        <f>(Fuentes!V1855/Fuentes!V$47)*100000</f>
        <v>0</v>
      </c>
    </row>
    <row r="445" spans="1:22" s="14" customFormat="1" ht="12.75" x14ac:dyDescent="0.2">
      <c r="A445" s="28" t="s">
        <v>3198</v>
      </c>
      <c r="B445" s="29" t="s">
        <v>3431</v>
      </c>
      <c r="C445" s="29">
        <f>(Fuentes!C1856/Fuentes!C$47)*100000</f>
        <v>3.0472459997794621</v>
      </c>
      <c r="D445" s="30">
        <f>(Fuentes!D1856/Fuentes!D$47)*100000</f>
        <v>2.6053569680525057</v>
      </c>
      <c r="E445" s="35">
        <f>(Fuentes!E1856/Fuentes!E$47)*100000</f>
        <v>2.6352223319679067</v>
      </c>
      <c r="F445" s="28">
        <f>(Fuentes!F1856/Fuentes!F$47)*100000</f>
        <v>2.2513676446656659</v>
      </c>
      <c r="G445" s="28">
        <f>(Fuentes!G1856/Fuentes!G$47)*100000</f>
        <v>3.7332998058924955</v>
      </c>
      <c r="H445" s="36">
        <f>(Fuentes!H1856/Fuentes!H$47)*100000</f>
        <v>2.8705309865516808</v>
      </c>
      <c r="I445" s="28">
        <f>(Fuentes!I1856/Fuentes!I$47)*100000</f>
        <v>2.5241571184970235</v>
      </c>
      <c r="J445" s="28">
        <f>(Fuentes!J1856/Fuentes!J$47)*100000</f>
        <v>2.442176855075235</v>
      </c>
      <c r="K445" s="28">
        <f>(Fuentes!K1856/Fuentes!K$47)*100000</f>
        <v>2.1570857997906492</v>
      </c>
      <c r="L445" s="28">
        <f>(Fuentes!L1856/Fuentes!L$47)*100000</f>
        <v>2.684961997719125</v>
      </c>
      <c r="M445" s="28">
        <f>(Fuentes!M1856/Fuentes!M$47)*100000</f>
        <v>2.4482266237366819</v>
      </c>
      <c r="N445" s="28">
        <f>(Fuentes!N1856/Fuentes!N$47)*100000</f>
        <v>2.5042752333494551</v>
      </c>
      <c r="O445" s="28">
        <f>(Fuentes!O1856/Fuentes!O$47)*100000</f>
        <v>2.5792856281559975</v>
      </c>
      <c r="P445" s="28">
        <f>(Fuentes!P1856/Fuentes!P$47)*100000</f>
        <v>2.4611916750615932</v>
      </c>
      <c r="Q445" s="28">
        <f>(Fuentes!Q1856/Fuentes!Q$47)*100000</f>
        <v>2.8492899506590974</v>
      </c>
      <c r="R445" s="28">
        <f>(Fuentes!R1856/Fuentes!R$47)*100000</f>
        <v>2.690270966161151</v>
      </c>
      <c r="S445" s="28">
        <f>(Fuentes!S1856/Fuentes!S$47)*100000</f>
        <v>2.4946977448750323</v>
      </c>
      <c r="T445" s="28">
        <f>(Fuentes!T1856/Fuentes!T$47)*100000</f>
        <v>3.1126951270757783</v>
      </c>
      <c r="U445" s="28">
        <f>(Fuentes!U1856/Fuentes!U$47)*100000</f>
        <v>2.2584674040196324</v>
      </c>
      <c r="V445" s="28">
        <f>(Fuentes!V1856/Fuentes!V$47)*100000</f>
        <v>2.629498345096549</v>
      </c>
    </row>
    <row r="446" spans="1:22" s="14" customFormat="1" ht="12.75" x14ac:dyDescent="0.2">
      <c r="A446" s="28" t="s">
        <v>3198</v>
      </c>
      <c r="B446" s="29" t="s">
        <v>3432</v>
      </c>
      <c r="C446" s="29">
        <f>(Fuentes!C1857/Fuentes!C$47)*100000</f>
        <v>0</v>
      </c>
      <c r="D446" s="30">
        <f>(Fuentes!D1857/Fuentes!D$47)*100000</f>
        <v>7.5884183535509867E-2</v>
      </c>
      <c r="E446" s="35">
        <f>(Fuentes!E1857/Fuentes!E$47)*100000</f>
        <v>0.12430294018716544</v>
      </c>
      <c r="F446" s="28">
        <f>(Fuentes!F1857/Fuentes!F$47)*100000</f>
        <v>2.4471387442018107E-2</v>
      </c>
      <c r="G446" s="28">
        <f>(Fuentes!G1857/Fuentes!G$47)*100000</f>
        <v>7.2257415597919275E-2</v>
      </c>
      <c r="H446" s="28">
        <f>(Fuentes!H1857/Fuentes!H$47)*100000</f>
        <v>0</v>
      </c>
      <c r="I446" s="28">
        <f>(Fuentes!I1857/Fuentes!I$47)*100000</f>
        <v>2.3371825171268734E-2</v>
      </c>
      <c r="J446" s="28">
        <f>(Fuentes!J1857/Fuentes!J$47)*100000</f>
        <v>0</v>
      </c>
      <c r="K446" s="28">
        <f>(Fuentes!K1857/Fuentes!K$47)*100000</f>
        <v>0</v>
      </c>
      <c r="L446" s="28">
        <f>(Fuentes!L1857/Fuentes!L$47)*100000</f>
        <v>4.4749366628652081E-2</v>
      </c>
      <c r="M446" s="28">
        <f>(Fuentes!M1857/Fuentes!M$47)*100000</f>
        <v>2.2056095709339477E-2</v>
      </c>
      <c r="N446" s="36">
        <f>(Fuentes!N1857/Fuentes!N$47)*100000</f>
        <v>8.7105225507807124E-2</v>
      </c>
      <c r="O446" s="28">
        <f>(Fuentes!O1857/Fuentes!O$47)*100000</f>
        <v>2.1494046901299982E-2</v>
      </c>
      <c r="P446" s="28">
        <f>(Fuentes!P1857/Fuentes!P$47)*100000</f>
        <v>0</v>
      </c>
      <c r="Q446" s="28">
        <f>(Fuentes!Q1857/Fuentes!Q$47)*100000</f>
        <v>2.095066140190513E-2</v>
      </c>
      <c r="R446" s="28">
        <f>(Fuentes!R1857/Fuentes!R$47)*100000</f>
        <v>4.138878409478694E-2</v>
      </c>
      <c r="S446" s="28">
        <f>(Fuentes!S1857/Fuentes!S$47)*100000</f>
        <v>4.0896684342213642E-2</v>
      </c>
      <c r="T446" s="28">
        <f>(Fuentes!T1857/Fuentes!T$47)*100000</f>
        <v>0</v>
      </c>
      <c r="U446" s="28">
        <f>(Fuentes!U1857/Fuentes!U$47)*100000</f>
        <v>0</v>
      </c>
      <c r="V446" s="28">
        <f>(Fuentes!V1857/Fuentes!V$47)*100000</f>
        <v>0</v>
      </c>
    </row>
    <row r="447" spans="1:22" s="14" customFormat="1" ht="12.75" x14ac:dyDescent="0.2">
      <c r="A447" s="28" t="s">
        <v>3198</v>
      </c>
      <c r="B447" s="29" t="s">
        <v>3433</v>
      </c>
      <c r="C447" s="29">
        <f>(Fuentes!C1858/Fuentes!C$47)*100000</f>
        <v>5.1648237284397658E-2</v>
      </c>
      <c r="D447" s="30">
        <f>(Fuentes!D1858/Fuentes!D$47)*100000</f>
        <v>0.20235782276135969</v>
      </c>
      <c r="E447" s="35">
        <f>(Fuentes!E1858/Fuentes!E$47)*100000</f>
        <v>0.22374529233689774</v>
      </c>
      <c r="F447" s="28">
        <f>(Fuentes!F1858/Fuentes!F$47)*100000</f>
        <v>0.26918526186219921</v>
      </c>
      <c r="G447" s="28">
        <f>(Fuentes!G1858/Fuentes!G$47)*100000</f>
        <v>0.24085805199306426</v>
      </c>
      <c r="H447" s="36">
        <f>(Fuentes!H1858/Fuentes!H$47)*100000</f>
        <v>9.4893586332286964E-2</v>
      </c>
      <c r="I447" s="28">
        <f>(Fuentes!I1858/Fuentes!I$47)*100000</f>
        <v>0.1402309510276124</v>
      </c>
      <c r="J447" s="28">
        <f>(Fuentes!J1858/Fuentes!J$47)*100000</f>
        <v>9.2157617172650377E-2</v>
      </c>
      <c r="K447" s="28">
        <f>(Fuentes!K1858/Fuentes!K$47)*100000</f>
        <v>0.15894316419510046</v>
      </c>
      <c r="L447" s="28">
        <f>(Fuentes!L1858/Fuentes!L$47)*100000</f>
        <v>0.1118734165716302</v>
      </c>
      <c r="M447" s="28">
        <f>(Fuentes!M1858/Fuentes!M$47)*100000</f>
        <v>0.13233657425603684</v>
      </c>
      <c r="N447" s="28">
        <f>(Fuentes!N1858/Fuentes!N$47)*100000</f>
        <v>0.28309198290037318</v>
      </c>
      <c r="O447" s="28">
        <f>(Fuentes!O1858/Fuentes!O$47)*100000</f>
        <v>0.19344642211169985</v>
      </c>
      <c r="P447" s="28">
        <f>(Fuentes!P1858/Fuentes!P$47)*100000</f>
        <v>0</v>
      </c>
      <c r="Q447" s="28">
        <f>(Fuentes!Q1858/Fuentes!Q$47)*100000</f>
        <v>0.18855595261714614</v>
      </c>
      <c r="R447" s="28">
        <f>(Fuentes!R1858/Fuentes!R$47)*100000</f>
        <v>0.16555513637914776</v>
      </c>
      <c r="S447" s="28">
        <f>(Fuentes!S1858/Fuentes!S$47)*100000</f>
        <v>0.28627679039549547</v>
      </c>
      <c r="T447" s="28">
        <f>(Fuentes!T1858/Fuentes!T$47)*100000</f>
        <v>0.22233536621969846</v>
      </c>
      <c r="U447" s="28">
        <f>(Fuentes!U1858/Fuentes!U$47)*100000</f>
        <v>0.11991862322228136</v>
      </c>
      <c r="V447" s="28">
        <f>(Fuentes!V1858/Fuentes!V$47)*100000</f>
        <v>0.13839464974192364</v>
      </c>
    </row>
    <row r="448" spans="1:22" s="14" customFormat="1" ht="12.75" x14ac:dyDescent="0.2">
      <c r="A448" s="28" t="s">
        <v>3198</v>
      </c>
      <c r="B448" s="29" t="s">
        <v>3434</v>
      </c>
      <c r="C448" s="29">
        <f>(Fuentes!C1859/Fuentes!C$47)*100000</f>
        <v>0.43901001691738017</v>
      </c>
      <c r="D448" s="30">
        <f>(Fuentes!D1859/Fuentes!D$47)*100000</f>
        <v>0.48059982905822923</v>
      </c>
      <c r="E448" s="35">
        <f>(Fuentes!E1859/Fuentes!E$47)*100000</f>
        <v>0.27346646841176392</v>
      </c>
      <c r="F448" s="28">
        <f>(Fuentes!F1859/Fuentes!F$47)*100000</f>
        <v>0.46495636139834401</v>
      </c>
      <c r="G448" s="28">
        <f>(Fuentes!G1859/Fuentes!G$47)*100000</f>
        <v>0.16860063639514497</v>
      </c>
      <c r="H448" s="28">
        <f>(Fuentes!H1859/Fuentes!H$47)*100000</f>
        <v>0.30840415557993267</v>
      </c>
      <c r="I448" s="28">
        <f>(Fuentes!I1859/Fuentes!I$47)*100000</f>
        <v>0.21034642654141861</v>
      </c>
      <c r="J448" s="28">
        <f>(Fuentes!J1859/Fuentes!J$47)*100000</f>
        <v>0.16127583005213819</v>
      </c>
      <c r="K448" s="28">
        <f>(Fuentes!K1859/Fuentes!K$47)*100000</f>
        <v>0.24976782944944356</v>
      </c>
      <c r="L448" s="28">
        <f>(Fuentes!L1859/Fuentes!L$47)*100000</f>
        <v>0.24612151645758645</v>
      </c>
      <c r="M448" s="28">
        <f>(Fuentes!M1859/Fuentes!M$47)*100000</f>
        <v>0.15439266996537634</v>
      </c>
      <c r="N448" s="36">
        <f>(Fuentes!N1859/Fuentes!N$47)*100000</f>
        <v>0.19598675739256605</v>
      </c>
      <c r="O448" s="28">
        <f>(Fuentes!O1859/Fuentes!O$47)*100000</f>
        <v>0.30091665661819972</v>
      </c>
      <c r="P448" s="28">
        <f>(Fuentes!P1859/Fuentes!P$47)*100000</f>
        <v>0.36069188341419905</v>
      </c>
      <c r="Q448" s="28">
        <f>(Fuentes!Q1859/Fuentes!Q$47)*100000</f>
        <v>0.27235859822476666</v>
      </c>
      <c r="R448" s="28">
        <f>(Fuentes!R1859/Fuentes!R$47)*100000</f>
        <v>0.24833270456872161</v>
      </c>
      <c r="S448" s="28">
        <f>(Fuentes!S1859/Fuentes!S$47)*100000</f>
        <v>0.34762181690881594</v>
      </c>
      <c r="T448" s="28">
        <f>(Fuentes!T1859/Fuentes!T$47)*100000</f>
        <v>0.14148614213980812</v>
      </c>
      <c r="U448" s="28">
        <f>(Fuentes!U1859/Fuentes!U$47)*100000</f>
        <v>0.19986437203713561</v>
      </c>
      <c r="V448" s="28">
        <f>(Fuentes!V1859/Fuentes!V$47)*100000</f>
        <v>0.15816531399076986</v>
      </c>
    </row>
    <row r="449" spans="1:22" s="14" customFormat="1" ht="12.75" x14ac:dyDescent="0.2">
      <c r="A449" s="28" t="s">
        <v>3198</v>
      </c>
      <c r="B449" s="29" t="s">
        <v>3435</v>
      </c>
      <c r="C449" s="29">
        <f>(Fuentes!C1860/Fuentes!C$47)*100000</f>
        <v>0.12912059321099417</v>
      </c>
      <c r="D449" s="30">
        <f>(Fuentes!D1860/Fuentes!D$47)*100000</f>
        <v>7.5884183535509867E-2</v>
      </c>
      <c r="E449" s="35">
        <f>(Fuentes!E1860/Fuentes!E$47)*100000</f>
        <v>0.32318764448663007</v>
      </c>
      <c r="F449" s="28">
        <f>(Fuentes!F1860/Fuentes!F$47)*100000</f>
        <v>2.4471387442018107E-2</v>
      </c>
      <c r="G449" s="28">
        <f>(Fuentes!G1860/Fuentes!G$47)*100000</f>
        <v>0.12042902599653213</v>
      </c>
      <c r="H449" s="36">
        <f>(Fuentes!H1860/Fuentes!H$47)*100000</f>
        <v>7.1170189749215226E-2</v>
      </c>
      <c r="I449" s="28">
        <f>(Fuentes!I1860/Fuentes!I$47)*100000</f>
        <v>7.0115475513806202E-2</v>
      </c>
      <c r="J449" s="28">
        <f>(Fuentes!J1860/Fuentes!J$47)*100000</f>
        <v>6.9118212879487786E-2</v>
      </c>
      <c r="K449" s="28">
        <f>(Fuentes!K1860/Fuentes!K$47)*100000</f>
        <v>4.5412332627171564E-2</v>
      </c>
      <c r="L449" s="28">
        <f>(Fuentes!L1860/Fuentes!L$47)*100000</f>
        <v>2.237468331432604E-2</v>
      </c>
      <c r="M449" s="28">
        <f>(Fuentes!M1860/Fuentes!M$47)*100000</f>
        <v>0</v>
      </c>
      <c r="N449" s="28">
        <f>(Fuentes!N1860/Fuentes!N$47)*100000</f>
        <v>8.7105225507807124E-2</v>
      </c>
      <c r="O449" s="28">
        <f>(Fuentes!O1860/Fuentes!O$47)*100000</f>
        <v>2.1494046901299982E-2</v>
      </c>
      <c r="P449" s="28">
        <f>(Fuentes!P1860/Fuentes!P$47)*100000</f>
        <v>6.3651508837799825E-2</v>
      </c>
      <c r="Q449" s="28">
        <f>(Fuentes!Q1860/Fuentes!Q$47)*100000</f>
        <v>8.3802645607620518E-2</v>
      </c>
      <c r="R449" s="28">
        <f>(Fuentes!R1860/Fuentes!R$47)*100000</f>
        <v>6.2083176142180403E-2</v>
      </c>
      <c r="S449" s="28">
        <f>(Fuentes!S1860/Fuentes!S$47)*100000</f>
        <v>0</v>
      </c>
      <c r="T449" s="28">
        <f>(Fuentes!T1860/Fuentes!T$47)*100000</f>
        <v>2.0212306019972589E-2</v>
      </c>
      <c r="U449" s="28">
        <f>(Fuentes!U1860/Fuentes!U$47)*100000</f>
        <v>1.9986437203713559E-2</v>
      </c>
      <c r="V449" s="28">
        <f>(Fuentes!V1860/Fuentes!V$47)*100000</f>
        <v>0</v>
      </c>
    </row>
    <row r="450" spans="1:22" s="14" customFormat="1" ht="12.75" x14ac:dyDescent="0.2">
      <c r="A450" s="28" t="s">
        <v>3198</v>
      </c>
      <c r="B450" s="29" t="s">
        <v>3436</v>
      </c>
      <c r="C450" s="29">
        <f>(Fuentes!C1861/Fuentes!C$47)*100000</f>
        <v>0</v>
      </c>
      <c r="D450" s="30">
        <f>(Fuentes!D1861/Fuentes!D$47)*100000</f>
        <v>7.5884183535509867E-2</v>
      </c>
      <c r="E450" s="35">
        <f>(Fuentes!E1861/Fuentes!E$47)*100000</f>
        <v>4.9721176074866168E-2</v>
      </c>
      <c r="F450" s="28">
        <f>(Fuentes!F1861/Fuentes!F$47)*100000</f>
        <v>2.4471387442018107E-2</v>
      </c>
      <c r="G450" s="28">
        <f>(Fuentes!G1861/Fuentes!G$47)*100000</f>
        <v>2.4085805199306427E-2</v>
      </c>
      <c r="H450" s="28">
        <f>(Fuentes!H1861/Fuentes!H$47)*100000</f>
        <v>0</v>
      </c>
      <c r="I450" s="28">
        <f>(Fuentes!I1861/Fuentes!I$47)*100000</f>
        <v>2.3371825171268734E-2</v>
      </c>
      <c r="J450" s="28">
        <f>(Fuentes!J1861/Fuentes!J$47)*100000</f>
        <v>0</v>
      </c>
      <c r="K450" s="28">
        <f>(Fuentes!K1861/Fuentes!K$47)*100000</f>
        <v>0</v>
      </c>
      <c r="L450" s="28">
        <f>(Fuentes!L1861/Fuentes!L$47)*100000</f>
        <v>0</v>
      </c>
      <c r="M450" s="28">
        <f>(Fuentes!M1861/Fuentes!M$47)*100000</f>
        <v>0</v>
      </c>
      <c r="N450" s="36">
        <f>(Fuentes!N1861/Fuentes!N$47)*100000</f>
        <v>0</v>
      </c>
      <c r="O450" s="28">
        <f>(Fuentes!O1861/Fuentes!O$47)*100000</f>
        <v>0</v>
      </c>
      <c r="P450" s="28">
        <f>(Fuentes!P1861/Fuentes!P$47)*100000</f>
        <v>0</v>
      </c>
      <c r="Q450" s="28">
        <f>(Fuentes!Q1861/Fuentes!Q$47)*100000</f>
        <v>6.2851984205715389E-2</v>
      </c>
      <c r="R450" s="28">
        <f>(Fuentes!R1861/Fuentes!R$47)*100000</f>
        <v>2.069439204739347E-2</v>
      </c>
      <c r="S450" s="28">
        <f>(Fuentes!S1861/Fuentes!S$47)*100000</f>
        <v>4.0896684342213642E-2</v>
      </c>
      <c r="T450" s="28">
        <f>(Fuentes!T1861/Fuentes!T$47)*100000</f>
        <v>4.0424612039945178E-2</v>
      </c>
      <c r="U450" s="28">
        <f>(Fuentes!U1861/Fuentes!U$47)*100000</f>
        <v>0</v>
      </c>
      <c r="V450" s="28">
        <f>(Fuentes!V1861/Fuentes!V$47)*100000</f>
        <v>0</v>
      </c>
    </row>
    <row r="451" spans="1:22" s="14" customFormat="1" ht="12.75" x14ac:dyDescent="0.2">
      <c r="A451" s="28" t="s">
        <v>3198</v>
      </c>
      <c r="B451" s="29" t="s">
        <v>3437</v>
      </c>
      <c r="C451" s="29">
        <f>(Fuentes!C1862/Fuentes!C$47)*100000</f>
        <v>14.56480291420014</v>
      </c>
      <c r="D451" s="30">
        <f>(Fuentes!D1862/Fuentes!D$47)*100000</f>
        <v>12.34382718844294</v>
      </c>
      <c r="E451" s="35">
        <f>(Fuentes!E1862/Fuentes!E$47)*100000</f>
        <v>12.430294018716541</v>
      </c>
      <c r="F451" s="28">
        <f>(Fuentes!F1862/Fuentes!F$47)*100000</f>
        <v>12.67617869496538</v>
      </c>
      <c r="G451" s="28">
        <f>(Fuentes!G1862/Fuentes!G$47)*100000</f>
        <v>15.101799859965128</v>
      </c>
      <c r="H451" s="36">
        <f>(Fuentes!H1862/Fuentes!H$47)*100000</f>
        <v>15.396484382413563</v>
      </c>
      <c r="I451" s="28">
        <f>(Fuentes!I1862/Fuentes!I$47)*100000</f>
        <v>13.812748676219822</v>
      </c>
      <c r="J451" s="28">
        <f>(Fuentes!J1862/Fuentes!J$47)*100000</f>
        <v>13.892760788777046</v>
      </c>
      <c r="K451" s="28">
        <f>(Fuentes!K1862/Fuentes!K$47)*100000</f>
        <v>17.619985059342564</v>
      </c>
      <c r="L451" s="28">
        <f>(Fuentes!L1862/Fuentes!L$47)*100000</f>
        <v>23.538166846670993</v>
      </c>
      <c r="M451" s="28">
        <f>(Fuentes!M1862/Fuentes!M$47)*100000</f>
        <v>20.975347019581843</v>
      </c>
      <c r="N451" s="28">
        <f>(Fuentes!N1862/Fuentes!N$47)*100000</f>
        <v>26.959067294666308</v>
      </c>
      <c r="O451" s="28">
        <f>(Fuentes!O1862/Fuentes!O$47)*100000</f>
        <v>48.211147199615858</v>
      </c>
      <c r="P451" s="28">
        <f>(Fuentes!P1862/Fuentes!P$47)*100000</f>
        <v>56.076979286101654</v>
      </c>
      <c r="Q451" s="28">
        <f>(Fuentes!Q1862/Fuentes!Q$47)*100000</f>
        <v>58.221888035894352</v>
      </c>
      <c r="R451" s="28">
        <f>(Fuentes!R1862/Fuentes!R$47)*100000</f>
        <v>57.737353812227781</v>
      </c>
      <c r="S451" s="28">
        <f>(Fuentes!S1862/Fuentes!S$47)*100000</f>
        <v>59.954539245685197</v>
      </c>
      <c r="T451" s="28">
        <f>(Fuentes!T1862/Fuentes!T$47)*100000</f>
        <v>59.626302758919131</v>
      </c>
      <c r="U451" s="28">
        <f>(Fuentes!U1862/Fuentes!U$47)*100000</f>
        <v>52.464397659748094</v>
      </c>
      <c r="V451" s="28">
        <f>(Fuentes!V1862/Fuentes!V$47)*100000</f>
        <v>61.07158186468601</v>
      </c>
    </row>
    <row r="452" spans="1:22" s="14" customFormat="1" ht="12.75" x14ac:dyDescent="0.2">
      <c r="A452" s="28" t="s">
        <v>3198</v>
      </c>
      <c r="B452" s="29" t="s">
        <v>3438</v>
      </c>
      <c r="C452" s="29">
        <f>(Fuentes!C1863/Fuentes!C$47)*100000</f>
        <v>0</v>
      </c>
      <c r="D452" s="30">
        <f>(Fuentes!D1863/Fuentes!D$47)*100000</f>
        <v>0</v>
      </c>
      <c r="E452" s="35">
        <f>(Fuentes!E1863/Fuentes!E$47)*100000</f>
        <v>0</v>
      </c>
      <c r="F452" s="28">
        <f>(Fuentes!F1863/Fuentes!F$47)*100000</f>
        <v>0</v>
      </c>
      <c r="G452" s="28">
        <f>(Fuentes!G1863/Fuentes!G$47)*100000</f>
        <v>0</v>
      </c>
      <c r="H452" s="28">
        <f>(Fuentes!H1863/Fuentes!H$47)*100000</f>
        <v>0</v>
      </c>
      <c r="I452" s="28">
        <f>(Fuentes!I1863/Fuentes!I$47)*100000</f>
        <v>0</v>
      </c>
      <c r="J452" s="28">
        <f>(Fuentes!J1863/Fuentes!J$47)*100000</f>
        <v>0</v>
      </c>
      <c r="K452" s="28">
        <f>(Fuentes!K1863/Fuentes!K$47)*100000</f>
        <v>0</v>
      </c>
      <c r="L452" s="28">
        <f>(Fuentes!L1863/Fuentes!L$47)*100000</f>
        <v>0</v>
      </c>
      <c r="M452" s="28">
        <f>(Fuentes!M1863/Fuentes!M$47)*100000</f>
        <v>1.0807486897576344</v>
      </c>
      <c r="N452" s="36">
        <f>(Fuentes!N1863/Fuentes!N$47)*100000</f>
        <v>1.8509860420409017</v>
      </c>
      <c r="O452" s="28">
        <f>(Fuentes!O1863/Fuentes!O$47)*100000</f>
        <v>1.6550416114000985</v>
      </c>
      <c r="P452" s="28">
        <f>(Fuentes!P1863/Fuentes!P$47)*100000</f>
        <v>1.7185907386205954</v>
      </c>
      <c r="Q452" s="28">
        <f>(Fuentes!Q1863/Fuentes!Q$47)*100000</f>
        <v>1.9903128331809872</v>
      </c>
      <c r="R452" s="28">
        <f>(Fuentes!R1863/Fuentes!R$47)*100000</f>
        <v>1.7176345399336579</v>
      </c>
      <c r="S452" s="28">
        <f>(Fuentes!S1863/Fuentes!S$47)*100000</f>
        <v>1.8199024532285071</v>
      </c>
      <c r="T452" s="28">
        <f>(Fuentes!T1863/Fuentes!T$47)*100000</f>
        <v>3.1935443511556687</v>
      </c>
      <c r="U452" s="28">
        <f>(Fuentes!U1863/Fuentes!U$47)*100000</f>
        <v>1.0992540462042457</v>
      </c>
      <c r="V452" s="28">
        <f>(Fuentes!V1863/Fuentes!V$47)*100000</f>
        <v>2.5899570165988566</v>
      </c>
    </row>
    <row r="453" spans="1:22" s="14" customFormat="1" ht="12.75" x14ac:dyDescent="0.2">
      <c r="A453" s="28" t="s">
        <v>3198</v>
      </c>
      <c r="B453" s="29" t="s">
        <v>3439</v>
      </c>
      <c r="C453" s="29">
        <f>(Fuentes!C1864/Fuentes!C$47)*100000</f>
        <v>1.3170300507521404</v>
      </c>
      <c r="D453" s="30">
        <f>(Fuentes!D1864/Fuentes!D$47)*100000</f>
        <v>0.86002074673577866</v>
      </c>
      <c r="E453" s="35">
        <f>(Fuentes!E1864/Fuentes!E$47)*100000</f>
        <v>1.2927505779465203</v>
      </c>
      <c r="F453" s="28">
        <f>(Fuentes!F1864/Fuentes!F$47)*100000</f>
        <v>1.6151115711731949</v>
      </c>
      <c r="G453" s="28">
        <f>(Fuentes!G1864/Fuentes!G$47)*100000</f>
        <v>1.6619205587521435</v>
      </c>
      <c r="H453" s="36">
        <f>(Fuentes!H1864/Fuentes!H$47)*100000</f>
        <v>1.3522336052350894</v>
      </c>
      <c r="I453" s="28">
        <f>(Fuentes!I1864/Fuentes!I$47)*100000</f>
        <v>1.2854503844197804</v>
      </c>
      <c r="J453" s="28">
        <f>(Fuentes!J1864/Fuentes!J$47)*100000</f>
        <v>1.1058914060718046</v>
      </c>
      <c r="K453" s="28">
        <f>(Fuentes!K1864/Fuentes!K$47)*100000</f>
        <v>0.97636515148418856</v>
      </c>
      <c r="L453" s="28">
        <f>(Fuentes!L1864/Fuentes!L$47)*100000</f>
        <v>1.2082328989736062</v>
      </c>
      <c r="M453" s="28">
        <f>(Fuentes!M1864/Fuentes!M$47)*100000</f>
        <v>1.852712039584516</v>
      </c>
      <c r="N453" s="28">
        <f>(Fuentes!N1864/Fuentes!N$47)*100000</f>
        <v>2.6784856843650693</v>
      </c>
      <c r="O453" s="28">
        <f>(Fuentes!O1864/Fuentes!O$47)*100000</f>
        <v>4.6212200837794963</v>
      </c>
      <c r="P453" s="28">
        <f>(Fuentes!P1864/Fuentes!P$47)*100000</f>
        <v>6.5985397495185829</v>
      </c>
      <c r="Q453" s="28">
        <f>(Fuentes!Q1864/Fuentes!Q$47)*100000</f>
        <v>7.6260407502934671</v>
      </c>
      <c r="R453" s="28">
        <f>(Fuentes!R1864/Fuentes!R$47)*100000</f>
        <v>8.6709502678578634</v>
      </c>
      <c r="S453" s="28">
        <f>(Fuentes!S1864/Fuentes!S$47)*100000</f>
        <v>9.5698241360779921</v>
      </c>
      <c r="T453" s="28">
        <f>(Fuentes!T1864/Fuentes!T$47)*100000</f>
        <v>8.6912915885882143</v>
      </c>
      <c r="U453" s="28">
        <f>(Fuentes!U1864/Fuentes!U$47)*100000</f>
        <v>7.6548054490222937</v>
      </c>
      <c r="V453" s="28">
        <f>(Fuentes!V1864/Fuentes!V$47)*100000</f>
        <v>8.9561109047273444</v>
      </c>
    </row>
    <row r="454" spans="1:22" s="14" customFormat="1" ht="12.75" x14ac:dyDescent="0.2">
      <c r="A454" s="28" t="s">
        <v>3198</v>
      </c>
      <c r="B454" s="29" t="s">
        <v>3440</v>
      </c>
      <c r="C454" s="29">
        <f>(Fuentes!C1865/Fuentes!C$47)*100000</f>
        <v>5.1648237284397658E-2</v>
      </c>
      <c r="D454" s="30">
        <f>(Fuentes!D1865/Fuentes!D$47)*100000</f>
        <v>0.10117891138067985</v>
      </c>
      <c r="E454" s="35">
        <f>(Fuentes!E1865/Fuentes!E$47)*100000</f>
        <v>0.12430294018716544</v>
      </c>
      <c r="F454" s="28">
        <f>(Fuentes!F1865/Fuentes!F$47)*100000</f>
        <v>0.36707081163027161</v>
      </c>
      <c r="G454" s="28">
        <f>(Fuentes!G1865/Fuentes!G$47)*100000</f>
        <v>0.14451483119583855</v>
      </c>
      <c r="H454" s="28">
        <f>(Fuentes!H1865/Fuentes!H$47)*100000</f>
        <v>4.7446793166143482E-2</v>
      </c>
      <c r="I454" s="28">
        <f>(Fuentes!I1865/Fuentes!I$47)*100000</f>
        <v>0</v>
      </c>
      <c r="J454" s="28">
        <f>(Fuentes!J1865/Fuentes!J$47)*100000</f>
        <v>0.11519702146581298</v>
      </c>
      <c r="K454" s="28">
        <f>(Fuentes!K1865/Fuentes!K$47)*100000</f>
        <v>0.1135308315679289</v>
      </c>
      <c r="L454" s="28">
        <f>(Fuentes!L1865/Fuentes!L$47)*100000</f>
        <v>0.13424809988595623</v>
      </c>
      <c r="M454" s="28">
        <f>(Fuentes!M1865/Fuentes!M$47)*100000</f>
        <v>0.11028047854669738</v>
      </c>
      <c r="N454" s="36">
        <f>(Fuentes!N1865/Fuentes!N$47)*100000</f>
        <v>0.19598675739256605</v>
      </c>
      <c r="O454" s="28">
        <f>(Fuentes!O1865/Fuentes!O$47)*100000</f>
        <v>0.1074702345064999</v>
      </c>
      <c r="P454" s="28">
        <f>(Fuentes!P1865/Fuentes!P$47)*100000</f>
        <v>0.10608584806299971</v>
      </c>
      <c r="Q454" s="28">
        <f>(Fuentes!Q1865/Fuentes!Q$47)*100000</f>
        <v>0.16760529121524104</v>
      </c>
      <c r="R454" s="28">
        <f>(Fuentes!R1865/Fuentes!R$47)*100000</f>
        <v>4.138878409478694E-2</v>
      </c>
      <c r="S454" s="28">
        <f>(Fuentes!S1865/Fuentes!S$47)*100000</f>
        <v>6.1345026513320453E-2</v>
      </c>
      <c r="T454" s="28">
        <f>(Fuentes!T1865/Fuentes!T$47)*100000</f>
        <v>8.0849224079890356E-2</v>
      </c>
      <c r="U454" s="28">
        <f>(Fuentes!U1865/Fuentes!U$47)*100000</f>
        <v>1.9986437203713559E-2</v>
      </c>
      <c r="V454" s="28">
        <f>(Fuentes!V1865/Fuentes!V$47)*100000</f>
        <v>3.9541328497692464E-2</v>
      </c>
    </row>
    <row r="455" spans="1:22" s="14" customFormat="1" ht="12.75" x14ac:dyDescent="0.2">
      <c r="A455" s="28" t="s">
        <v>3198</v>
      </c>
      <c r="B455" s="29" t="s">
        <v>3441</v>
      </c>
      <c r="C455" s="29">
        <f>(Fuentes!C1866/Fuentes!C$47)*100000</f>
        <v>0</v>
      </c>
      <c r="D455" s="30">
        <f>(Fuentes!D1866/Fuentes!D$47)*100000</f>
        <v>0</v>
      </c>
      <c r="E455" s="35">
        <f>(Fuentes!E1866/Fuentes!E$47)*100000</f>
        <v>0.19888470429946467</v>
      </c>
      <c r="F455" s="28">
        <f>(Fuentes!F1866/Fuentes!F$47)*100000</f>
        <v>0</v>
      </c>
      <c r="G455" s="28">
        <f>(Fuentes!G1866/Fuentes!G$47)*100000</f>
        <v>0</v>
      </c>
      <c r="H455" s="36">
        <f>(Fuentes!H1866/Fuentes!H$47)*100000</f>
        <v>0</v>
      </c>
      <c r="I455" s="28">
        <f>(Fuentes!I1866/Fuentes!I$47)*100000</f>
        <v>0</v>
      </c>
      <c r="J455" s="28">
        <f>(Fuentes!J1866/Fuentes!J$47)*100000</f>
        <v>0</v>
      </c>
      <c r="K455" s="28">
        <f>(Fuentes!K1866/Fuentes!K$47)*100000</f>
        <v>0</v>
      </c>
      <c r="L455" s="28">
        <f>(Fuentes!L1866/Fuentes!L$47)*100000</f>
        <v>0</v>
      </c>
      <c r="M455" s="28">
        <f>(Fuentes!M1866/Fuentes!M$47)*100000</f>
        <v>0</v>
      </c>
      <c r="N455" s="28">
        <f>(Fuentes!N1866/Fuentes!N$47)*100000</f>
        <v>2.1776306376951781E-2</v>
      </c>
      <c r="O455" s="28">
        <f>(Fuentes!O1866/Fuentes!O$47)*100000</f>
        <v>0</v>
      </c>
      <c r="P455" s="28">
        <f>(Fuentes!P1866/Fuentes!P$47)*100000</f>
        <v>0</v>
      </c>
      <c r="Q455" s="28">
        <f>(Fuentes!Q1866/Fuentes!Q$47)*100000</f>
        <v>0</v>
      </c>
      <c r="R455" s="28">
        <f>(Fuentes!R1866/Fuentes!R$47)*100000</f>
        <v>0</v>
      </c>
      <c r="S455" s="28">
        <f>(Fuentes!S1866/Fuentes!S$47)*100000</f>
        <v>0</v>
      </c>
      <c r="T455" s="28">
        <f>(Fuentes!T1866/Fuentes!T$47)*100000</f>
        <v>0</v>
      </c>
      <c r="U455" s="28">
        <f>(Fuentes!U1866/Fuentes!U$47)*100000</f>
        <v>0</v>
      </c>
      <c r="V455" s="28">
        <f>(Fuentes!V1866/Fuentes!V$47)*100000</f>
        <v>0</v>
      </c>
    </row>
    <row r="456" spans="1:22" s="14" customFormat="1" ht="12.75" x14ac:dyDescent="0.2">
      <c r="A456" s="28" t="s">
        <v>3198</v>
      </c>
      <c r="B456" s="29" t="s">
        <v>3442</v>
      </c>
      <c r="C456" s="29">
        <f>(Fuentes!C1867/Fuentes!C$47)*100000</f>
        <v>42.351554573206087</v>
      </c>
      <c r="D456" s="30">
        <f>(Fuentes!D1867/Fuentes!D$47)*100000</f>
        <v>40.572743463652614</v>
      </c>
      <c r="E456" s="35">
        <f>(Fuentes!E1867/Fuentes!E$47)*100000</f>
        <v>40.000686152229832</v>
      </c>
      <c r="F456" s="28">
        <f>(Fuentes!F1867/Fuentes!F$47)*100000</f>
        <v>41.111930902590423</v>
      </c>
      <c r="G456" s="28">
        <f>(Fuentes!G1867/Fuentes!G$47)*100000</f>
        <v>42.535531981975147</v>
      </c>
      <c r="H456" s="28">
        <f>(Fuentes!H1867/Fuentes!H$47)*100000</f>
        <v>38.431902464576225</v>
      </c>
      <c r="I456" s="28">
        <f>(Fuentes!I1867/Fuentes!I$47)*100000</f>
        <v>34.403326652107573</v>
      </c>
      <c r="J456" s="28">
        <f>(Fuentes!J1867/Fuentes!J$47)*100000</f>
        <v>32.093890180375496</v>
      </c>
      <c r="K456" s="28">
        <f>(Fuentes!K1867/Fuentes!K$47)*100000</f>
        <v>39.554141718266429</v>
      </c>
      <c r="L456" s="28">
        <f>(Fuentes!L1867/Fuentes!L$47)*100000</f>
        <v>49.112429874945661</v>
      </c>
      <c r="M456" s="28">
        <f>(Fuentes!M1867/Fuentes!M$47)*100000</f>
        <v>51.037805471411552</v>
      </c>
      <c r="N456" s="36">
        <f>(Fuentes!N1867/Fuentes!N$47)*100000</f>
        <v>66.98391841550368</v>
      </c>
      <c r="O456" s="28">
        <f>(Fuentes!O1867/Fuentes!O$47)*100000</f>
        <v>65.191444251642835</v>
      </c>
      <c r="P456" s="28">
        <f>(Fuentes!P1867/Fuentes!P$47)*100000</f>
        <v>72.202028191677599</v>
      </c>
      <c r="Q456" s="28">
        <f>(Fuentes!Q1867/Fuentes!Q$47)*100000</f>
        <v>44.26874754222554</v>
      </c>
      <c r="R456" s="28">
        <f>(Fuentes!R1867/Fuentes!R$47)*100000</f>
        <v>49.169875504606878</v>
      </c>
      <c r="S456" s="28">
        <f>(Fuentes!S1867/Fuentes!S$47)*100000</f>
        <v>51.223097138622585</v>
      </c>
      <c r="T456" s="28">
        <f>(Fuentes!T1867/Fuentes!T$47)*100000</f>
        <v>54.67428778402585</v>
      </c>
      <c r="U456" s="28">
        <f>(Fuentes!U1867/Fuentes!U$47)*100000</f>
        <v>52.544343408562952</v>
      </c>
      <c r="V456" s="28">
        <f>(Fuentes!V1867/Fuentes!V$47)*100000</f>
        <v>61.664701792151398</v>
      </c>
    </row>
    <row r="457" spans="1:22" s="14" customFormat="1" ht="12.75" x14ac:dyDescent="0.2">
      <c r="A457" s="28" t="s">
        <v>3198</v>
      </c>
      <c r="B457" s="29" t="s">
        <v>3443</v>
      </c>
      <c r="C457" s="29">
        <f>(Fuentes!C1868/Fuentes!C$47)*100000</f>
        <v>7.7472355926596501E-2</v>
      </c>
      <c r="D457" s="30">
        <f>(Fuentes!D1868/Fuentes!D$47)*100000</f>
        <v>5.0589455690339923E-2</v>
      </c>
      <c r="E457" s="35">
        <f>(Fuentes!E1868/Fuentes!E$47)*100000</f>
        <v>4.9721176074866168E-2</v>
      </c>
      <c r="F457" s="28">
        <f>(Fuentes!F1868/Fuentes!F$47)*100000</f>
        <v>2.4471387442018107E-2</v>
      </c>
      <c r="G457" s="28">
        <f>(Fuentes!G1868/Fuentes!G$47)*100000</f>
        <v>4.8171610398612855E-2</v>
      </c>
      <c r="H457" s="36">
        <f>(Fuentes!H1868/Fuentes!H$47)*100000</f>
        <v>2.3723396583071741E-2</v>
      </c>
      <c r="I457" s="28">
        <f>(Fuentes!I1868/Fuentes!I$47)*100000</f>
        <v>0</v>
      </c>
      <c r="J457" s="28">
        <f>(Fuentes!J1868/Fuentes!J$47)*100000</f>
        <v>0</v>
      </c>
      <c r="K457" s="28">
        <f>(Fuentes!K1868/Fuentes!K$47)*100000</f>
        <v>0</v>
      </c>
      <c r="L457" s="28">
        <f>(Fuentes!L1868/Fuentes!L$47)*100000</f>
        <v>0</v>
      </c>
      <c r="M457" s="28">
        <f>(Fuentes!M1868/Fuentes!M$47)*100000</f>
        <v>0</v>
      </c>
      <c r="N457" s="28">
        <f>(Fuentes!N1868/Fuentes!N$47)*100000</f>
        <v>0</v>
      </c>
      <c r="O457" s="28">
        <f>(Fuentes!O1868/Fuentes!O$47)*100000</f>
        <v>0</v>
      </c>
      <c r="P457" s="28">
        <f>(Fuentes!P1868/Fuentes!P$47)*100000</f>
        <v>0</v>
      </c>
      <c r="Q457" s="28">
        <f>(Fuentes!Q1868/Fuentes!Q$47)*100000</f>
        <v>0</v>
      </c>
      <c r="R457" s="28">
        <f>(Fuentes!R1868/Fuentes!R$47)*100000</f>
        <v>0</v>
      </c>
      <c r="S457" s="28">
        <f>(Fuentes!S1868/Fuentes!S$47)*100000</f>
        <v>0</v>
      </c>
      <c r="T457" s="28">
        <f>(Fuentes!T1868/Fuentes!T$47)*100000</f>
        <v>0</v>
      </c>
      <c r="U457" s="28">
        <f>(Fuentes!U1868/Fuentes!U$47)*100000</f>
        <v>0</v>
      </c>
      <c r="V457" s="28">
        <f>(Fuentes!V1868/Fuentes!V$47)*100000</f>
        <v>0</v>
      </c>
    </row>
    <row r="458" spans="1:22" s="14" customFormat="1" ht="12.75" x14ac:dyDescent="0.2">
      <c r="A458" s="28" t="s">
        <v>3198</v>
      </c>
      <c r="B458" s="29" t="s">
        <v>3444</v>
      </c>
      <c r="C458" s="29">
        <f>(Fuentes!C1869/Fuentes!C$47)*100000</f>
        <v>26.753786913317992</v>
      </c>
      <c r="D458" s="30">
        <f>(Fuentes!D1869/Fuentes!D$47)*100000</f>
        <v>26.989474610796346</v>
      </c>
      <c r="E458" s="35">
        <f>(Fuentes!E1869/Fuentes!E$47)*100000</f>
        <v>27.023459196689764</v>
      </c>
      <c r="F458" s="28">
        <f>(Fuentes!F1869/Fuentes!F$47)*100000</f>
        <v>28.460223595067056</v>
      </c>
      <c r="G458" s="28">
        <f>(Fuentes!G1869/Fuentes!G$47)*100000</f>
        <v>28.348992719583659</v>
      </c>
      <c r="H458" s="28">
        <f>(Fuentes!H1869/Fuentes!H$47)*100000</f>
        <v>24.743502636143827</v>
      </c>
      <c r="I458" s="28">
        <f>(Fuentes!I1869/Fuentes!I$47)*100000</f>
        <v>22.203233912705297</v>
      </c>
      <c r="J458" s="28">
        <f>(Fuentes!J1869/Fuentes!J$47)*100000</f>
        <v>21.058015523950612</v>
      </c>
      <c r="K458" s="28">
        <f>(Fuentes!K1869/Fuentes!K$47)*100000</f>
        <v>27.15657491104859</v>
      </c>
      <c r="L458" s="28">
        <f>(Fuentes!L1869/Fuentes!L$47)*100000</f>
        <v>37.209098351724201</v>
      </c>
      <c r="M458" s="28">
        <f>(Fuentes!M1869/Fuentes!M$47)*100000</f>
        <v>34.628070263662977</v>
      </c>
      <c r="N458" s="36">
        <f>(Fuentes!N1869/Fuentes!N$47)*100000</f>
        <v>47.515900514508793</v>
      </c>
      <c r="O458" s="28">
        <f>(Fuentes!O1869/Fuentes!O$47)*100000</f>
        <v>44.299230663579259</v>
      </c>
      <c r="P458" s="28">
        <f>(Fuentes!P1869/Fuentes!P$47)*100000</f>
        <v>50.178606133798866</v>
      </c>
      <c r="Q458" s="28">
        <f>(Fuentes!Q1869/Fuentes!Q$47)*100000</f>
        <v>33.730564857067257</v>
      </c>
      <c r="R458" s="28">
        <f>(Fuentes!R1869/Fuentes!R$47)*100000</f>
        <v>35.490882361279802</v>
      </c>
      <c r="S458" s="28">
        <f>(Fuentes!S1869/Fuentes!S$47)*100000</f>
        <v>39.138126915498454</v>
      </c>
      <c r="T458" s="28">
        <f>(Fuentes!T1869/Fuentes!T$47)*100000</f>
        <v>37.837436869388682</v>
      </c>
      <c r="U458" s="28">
        <f>(Fuentes!U1869/Fuentes!U$47)*100000</f>
        <v>40.272670965482824</v>
      </c>
      <c r="V458" s="28">
        <f>(Fuentes!V1869/Fuentes!V$47)*100000</f>
        <v>43.357066697719787</v>
      </c>
    </row>
    <row r="459" spans="1:22" s="14" customFormat="1" ht="12.75" x14ac:dyDescent="0.2">
      <c r="A459" s="28" t="s">
        <v>3198</v>
      </c>
      <c r="B459" s="29" t="s">
        <v>3445</v>
      </c>
      <c r="C459" s="29">
        <f>(Fuentes!C1870/Fuentes!C$47)*100000</f>
        <v>0</v>
      </c>
      <c r="D459" s="30">
        <f>(Fuentes!D1870/Fuentes!D$47)*100000</f>
        <v>0.10117891138067985</v>
      </c>
      <c r="E459" s="35">
        <f>(Fuentes!E1870/Fuentes!E$47)*100000</f>
        <v>2.4860588037433084E-2</v>
      </c>
      <c r="F459" s="28">
        <f>(Fuentes!F1870/Fuentes!F$47)*100000</f>
        <v>7.3414162326054314E-2</v>
      </c>
      <c r="G459" s="28">
        <f>(Fuentes!G1870/Fuentes!G$47)*100000</f>
        <v>2.4085805199306427E-2</v>
      </c>
      <c r="H459" s="36">
        <f>(Fuentes!H1870/Fuentes!H$47)*100000</f>
        <v>0</v>
      </c>
      <c r="I459" s="28">
        <f>(Fuentes!I1870/Fuentes!I$47)*100000</f>
        <v>0</v>
      </c>
      <c r="J459" s="28">
        <f>(Fuentes!J1870/Fuentes!J$47)*100000</f>
        <v>0</v>
      </c>
      <c r="K459" s="28">
        <f>(Fuentes!K1870/Fuentes!K$47)*100000</f>
        <v>2.2706166313585782E-2</v>
      </c>
      <c r="L459" s="28">
        <f>(Fuentes!L1870/Fuentes!L$47)*100000</f>
        <v>2.237468331432604E-2</v>
      </c>
      <c r="M459" s="28">
        <f>(Fuentes!M1870/Fuentes!M$47)*100000</f>
        <v>0</v>
      </c>
      <c r="N459" s="28">
        <f>(Fuentes!N1870/Fuentes!N$47)*100000</f>
        <v>0.30486828927732496</v>
      </c>
      <c r="O459" s="28">
        <f>(Fuentes!O1870/Fuentes!O$47)*100000</f>
        <v>2.1494046901299982E-2</v>
      </c>
      <c r="P459" s="28">
        <f>(Fuentes!P1870/Fuentes!P$47)*100000</f>
        <v>4.2434339225199888E-2</v>
      </c>
      <c r="Q459" s="28">
        <f>(Fuentes!Q1870/Fuentes!Q$47)*100000</f>
        <v>2.095066140190513E-2</v>
      </c>
      <c r="R459" s="28">
        <f>(Fuentes!R1870/Fuentes!R$47)*100000</f>
        <v>4.138878409478694E-2</v>
      </c>
      <c r="S459" s="28">
        <f>(Fuentes!S1870/Fuentes!S$47)*100000</f>
        <v>2.0448342171106821E-2</v>
      </c>
      <c r="T459" s="28">
        <f>(Fuentes!T1870/Fuentes!T$47)*100000</f>
        <v>0</v>
      </c>
      <c r="U459" s="28">
        <f>(Fuentes!U1870/Fuentes!U$47)*100000</f>
        <v>0</v>
      </c>
      <c r="V459" s="28">
        <f>(Fuentes!V1870/Fuentes!V$47)*100000</f>
        <v>0</v>
      </c>
    </row>
    <row r="460" spans="1:22" s="14" customFormat="1" ht="12.75" x14ac:dyDescent="0.2">
      <c r="A460" s="28" t="s">
        <v>3198</v>
      </c>
      <c r="B460" s="29" t="s">
        <v>3446</v>
      </c>
      <c r="C460" s="29">
        <f>(Fuentes!C1871/Fuentes!C$47)*100000</f>
        <v>0</v>
      </c>
      <c r="D460" s="30">
        <f>(Fuentes!D1871/Fuentes!D$47)*100000</f>
        <v>0</v>
      </c>
      <c r="E460" s="35">
        <f>(Fuentes!E1871/Fuentes!E$47)*100000</f>
        <v>0</v>
      </c>
      <c r="F460" s="28">
        <f>(Fuentes!F1871/Fuentes!F$47)*100000</f>
        <v>0</v>
      </c>
      <c r="G460" s="28">
        <f>(Fuentes!G1871/Fuentes!G$47)*100000</f>
        <v>0</v>
      </c>
      <c r="H460" s="28">
        <f>(Fuentes!H1871/Fuentes!H$47)*100000</f>
        <v>0</v>
      </c>
      <c r="I460" s="28">
        <f>(Fuentes!I1871/Fuentes!I$47)*100000</f>
        <v>7.0115475513806202E-2</v>
      </c>
      <c r="J460" s="28">
        <f>(Fuentes!J1871/Fuentes!J$47)*100000</f>
        <v>0.11519702146581298</v>
      </c>
      <c r="K460" s="28">
        <f>(Fuentes!K1871/Fuentes!K$47)*100000</f>
        <v>0.204355496822272</v>
      </c>
      <c r="L460" s="28">
        <f>(Fuentes!L1871/Fuentes!L$47)*100000</f>
        <v>6.7124049942978117E-2</v>
      </c>
      <c r="M460" s="28">
        <f>(Fuentes!M1871/Fuentes!M$47)*100000</f>
        <v>0.48523410560546854</v>
      </c>
      <c r="N460" s="36">
        <f>(Fuentes!N1871/Fuentes!N$47)*100000</f>
        <v>0.56618396580074637</v>
      </c>
      <c r="O460" s="28">
        <f>(Fuentes!O1871/Fuentes!O$47)*100000</f>
        <v>0.30091665661819972</v>
      </c>
      <c r="P460" s="28">
        <f>(Fuentes!P1871/Fuentes!P$47)*100000</f>
        <v>8.4868678450399776E-2</v>
      </c>
      <c r="Q460" s="28">
        <f>(Fuentes!Q1871/Fuentes!Q$47)*100000</f>
        <v>0.12570396841143078</v>
      </c>
      <c r="R460" s="28">
        <f>(Fuentes!R1871/Fuentes!R$47)*100000</f>
        <v>6.2083176142180403E-2</v>
      </c>
      <c r="S460" s="28">
        <f>(Fuentes!S1871/Fuentes!S$47)*100000</f>
        <v>0.14313839519774774</v>
      </c>
      <c r="T460" s="28">
        <f>(Fuentes!T1871/Fuentes!T$47)*100000</f>
        <v>0.16169844815978071</v>
      </c>
      <c r="U460" s="28">
        <f>(Fuentes!U1871/Fuentes!U$47)*100000</f>
        <v>0.1399050604259949</v>
      </c>
      <c r="V460" s="28">
        <f>(Fuentes!V1871/Fuentes!V$47)*100000</f>
        <v>0.25701863523500107</v>
      </c>
    </row>
    <row r="461" spans="1:22" s="14" customFormat="1" ht="12.75" x14ac:dyDescent="0.2">
      <c r="A461" s="28" t="s">
        <v>3198</v>
      </c>
      <c r="B461" s="29" t="s">
        <v>3447</v>
      </c>
      <c r="C461" s="29">
        <f>(Fuentes!C1872/Fuentes!C$47)*100000</f>
        <v>1.7302159490273217</v>
      </c>
      <c r="D461" s="30">
        <f>(Fuentes!D1872/Fuentes!D$47)*100000</f>
        <v>2.0741676833039366</v>
      </c>
      <c r="E461" s="35">
        <f>(Fuentes!E1872/Fuentes!E$47)*100000</f>
        <v>1.0938658736470557</v>
      </c>
      <c r="F461" s="28">
        <f>(Fuentes!F1872/Fuentes!F$47)*100000</f>
        <v>0.83202717302861573</v>
      </c>
      <c r="G461" s="28">
        <f>(Fuentes!G1872/Fuentes!G$47)*100000</f>
        <v>1.3488050911611598</v>
      </c>
      <c r="H461" s="36">
        <f>(Fuentes!H1872/Fuentes!H$47)*100000</f>
        <v>0.85404227699058277</v>
      </c>
      <c r="I461" s="28">
        <f>(Fuentes!I1872/Fuentes!I$47)*100000</f>
        <v>1.1218476082208992</v>
      </c>
      <c r="J461" s="28">
        <f>(Fuentes!J1872/Fuentes!J$47)*100000</f>
        <v>0.73726093738120302</v>
      </c>
      <c r="K461" s="28">
        <f>(Fuentes!K1872/Fuentes!K$47)*100000</f>
        <v>0.72659732203474503</v>
      </c>
      <c r="L461" s="28">
        <f>(Fuentes!L1872/Fuentes!L$47)*100000</f>
        <v>0.69361518274410727</v>
      </c>
      <c r="M461" s="28">
        <f>(Fuentes!M1872/Fuentes!M$47)*100000</f>
        <v>0.66168287128018433</v>
      </c>
      <c r="N461" s="28">
        <f>(Fuentes!N1872/Fuentes!N$47)*100000</f>
        <v>0.80572333594721601</v>
      </c>
      <c r="O461" s="28">
        <f>(Fuentes!O1872/Fuentes!O$47)*100000</f>
        <v>0.6233273601376994</v>
      </c>
      <c r="P461" s="28">
        <f>(Fuentes!P1872/Fuentes!P$47)*100000</f>
        <v>0.7001665972157981</v>
      </c>
      <c r="Q461" s="28">
        <f>(Fuentes!Q1872/Fuentes!Q$47)*100000</f>
        <v>0.33521058243048207</v>
      </c>
      <c r="R461" s="28">
        <f>(Fuentes!R1872/Fuentes!R$47)*100000</f>
        <v>0.37249905685308243</v>
      </c>
      <c r="S461" s="28">
        <f>(Fuentes!S1872/Fuentes!S$47)*100000</f>
        <v>0.36807015907992274</v>
      </c>
      <c r="T461" s="28">
        <f>(Fuentes!T1872/Fuentes!T$47)*100000</f>
        <v>0.30318459029958883</v>
      </c>
      <c r="U461" s="28">
        <f>(Fuentes!U1872/Fuentes!U$47)*100000</f>
        <v>0.25982368364827629</v>
      </c>
      <c r="V461" s="28">
        <f>(Fuentes!V1872/Fuentes!V$47)*100000</f>
        <v>0.43495461347461711</v>
      </c>
    </row>
    <row r="462" spans="1:22" s="14" customFormat="1" ht="12.75" x14ac:dyDescent="0.2">
      <c r="A462" s="28" t="s">
        <v>3198</v>
      </c>
      <c r="B462" s="29" t="s">
        <v>3448</v>
      </c>
      <c r="C462" s="29">
        <f>(Fuentes!C1873/Fuentes!C$47)*100000</f>
        <v>0.90384415247695915</v>
      </c>
      <c r="D462" s="30">
        <f>(Fuentes!D1873/Fuentes!D$47)*100000</f>
        <v>1.2141469365681579</v>
      </c>
      <c r="E462" s="35">
        <f>(Fuentes!E1873/Fuentes!E$47)*100000</f>
        <v>0.82039940523529176</v>
      </c>
      <c r="F462" s="28">
        <f>(Fuentes!F1873/Fuentes!F$47)*100000</f>
        <v>1.0277982725647605</v>
      </c>
      <c r="G462" s="28">
        <f>(Fuentes!G1873/Fuentes!G$47)*100000</f>
        <v>1.6860063639514498</v>
      </c>
      <c r="H462" s="28">
        <f>(Fuentes!H1873/Fuentes!H$47)*100000</f>
        <v>1.4471271915673765</v>
      </c>
      <c r="I462" s="28">
        <f>(Fuentes!I1873/Fuentes!I$47)*100000</f>
        <v>1.1218476082208992</v>
      </c>
      <c r="J462" s="28">
        <f>(Fuentes!J1873/Fuentes!J$47)*100000</f>
        <v>1.2671672361239428</v>
      </c>
      <c r="K462" s="28">
        <f>(Fuentes!K1873/Fuentes!K$47)*100000</f>
        <v>0.79471582097550231</v>
      </c>
      <c r="L462" s="28">
        <f>(Fuentes!L1873/Fuentes!L$47)*100000</f>
        <v>1.9242227650320394</v>
      </c>
      <c r="M462" s="28">
        <f>(Fuentes!M1873/Fuentes!M$47)*100000</f>
        <v>2.4482266237366819</v>
      </c>
      <c r="N462" s="36">
        <f>(Fuentes!N1873/Fuentes!N$47)*100000</f>
        <v>3.3753274884275259</v>
      </c>
      <c r="O462" s="28">
        <f>(Fuentes!O1873/Fuentes!O$47)*100000</f>
        <v>3.1166368006884975</v>
      </c>
      <c r="P462" s="28">
        <f>(Fuentes!P1873/Fuentes!P$47)*100000</f>
        <v>2.4611916750615932</v>
      </c>
      <c r="Q462" s="28">
        <f>(Fuentes!Q1873/Fuentes!Q$47)*100000</f>
        <v>0.79612513327239476</v>
      </c>
      <c r="R462" s="28">
        <f>(Fuentes!R1873/Fuentes!R$47)*100000</f>
        <v>0.97263642622749302</v>
      </c>
      <c r="S462" s="28">
        <f>(Fuentes!S1873/Fuentes!S$47)*100000</f>
        <v>0.92017539769980694</v>
      </c>
      <c r="T462" s="28">
        <f>(Fuentes!T1873/Fuentes!T$47)*100000</f>
        <v>0.78827993477893099</v>
      </c>
      <c r="U462" s="28">
        <f>(Fuentes!U1873/Fuentes!U$47)*100000</f>
        <v>1.0592811717968187</v>
      </c>
      <c r="V462" s="28">
        <f>(Fuentes!V1873/Fuentes!V$47)*100000</f>
        <v>0.92922121969577298</v>
      </c>
    </row>
    <row r="463" spans="1:22" s="14" customFormat="1" ht="12.75" x14ac:dyDescent="0.2">
      <c r="A463" s="28" t="s">
        <v>3198</v>
      </c>
      <c r="B463" s="29" t="s">
        <v>3449</v>
      </c>
      <c r="C463" s="29">
        <f>(Fuentes!C1874/Fuentes!C$47)*100000</f>
        <v>0</v>
      </c>
      <c r="D463" s="30">
        <f>(Fuentes!D1874/Fuentes!D$47)*100000</f>
        <v>0</v>
      </c>
      <c r="E463" s="35">
        <f>(Fuentes!E1874/Fuentes!E$47)*100000</f>
        <v>0</v>
      </c>
      <c r="F463" s="28">
        <f>(Fuentes!F1874/Fuentes!F$47)*100000</f>
        <v>2.4471387442018107E-2</v>
      </c>
      <c r="G463" s="28">
        <f>(Fuentes!G1874/Fuentes!G$47)*100000</f>
        <v>0.24085805199306426</v>
      </c>
      <c r="H463" s="36">
        <f>(Fuentes!H1874/Fuentes!H$47)*100000</f>
        <v>0.33212755216300444</v>
      </c>
      <c r="I463" s="28">
        <f>(Fuentes!I1874/Fuentes!I$47)*100000</f>
        <v>0.37394920274029975</v>
      </c>
      <c r="J463" s="28">
        <f>(Fuentes!J1874/Fuentes!J$47)*100000</f>
        <v>0.89853676743334121</v>
      </c>
      <c r="K463" s="28">
        <f>(Fuentes!K1874/Fuentes!K$47)*100000</f>
        <v>1.8619056377140342</v>
      </c>
      <c r="L463" s="28">
        <f>(Fuentes!L1874/Fuentes!L$47)*100000</f>
        <v>1.655726565260127</v>
      </c>
      <c r="M463" s="28">
        <f>(Fuentes!M1874/Fuentes!M$47)*100000</f>
        <v>1.8968242310031953</v>
      </c>
      <c r="N463" s="28">
        <f>(Fuentes!N1874/Fuentes!N$47)*100000</f>
        <v>1.9163149611717569</v>
      </c>
      <c r="O463" s="28">
        <f>(Fuentes!O1874/Fuentes!O$47)*100000</f>
        <v>2.9016963316754976</v>
      </c>
      <c r="P463" s="28">
        <f>(Fuentes!P1874/Fuentes!P$47)*100000</f>
        <v>3.5644844949167904</v>
      </c>
      <c r="Q463" s="28">
        <f>(Fuentes!Q1874/Fuentes!Q$47)*100000</f>
        <v>2.4721780454248052</v>
      </c>
      <c r="R463" s="28">
        <f>(Fuentes!R1874/Fuentes!R$47)*100000</f>
        <v>2.4833270456872163</v>
      </c>
      <c r="S463" s="28">
        <f>(Fuentes!S1874/Fuentes!S$47)*100000</f>
        <v>2.9241129304682754</v>
      </c>
      <c r="T463" s="28">
        <f>(Fuentes!T1874/Fuentes!T$47)*100000</f>
        <v>3.5775781655351482</v>
      </c>
      <c r="U463" s="28">
        <f>(Fuentes!U1874/Fuentes!U$47)*100000</f>
        <v>0.73949817653740169</v>
      </c>
      <c r="V463" s="28">
        <f>(Fuentes!V1874/Fuentes!V$47)*100000</f>
        <v>0.15816531399076986</v>
      </c>
    </row>
    <row r="464" spans="1:22" s="14" customFormat="1" ht="12.75" x14ac:dyDescent="0.2">
      <c r="A464" s="28" t="s">
        <v>3198</v>
      </c>
      <c r="B464" s="29" t="s">
        <v>3450</v>
      </c>
      <c r="C464" s="29">
        <f>(Fuentes!C1875/Fuentes!C$47)*100000</f>
        <v>0</v>
      </c>
      <c r="D464" s="30">
        <f>(Fuentes!D1875/Fuentes!D$47)*100000</f>
        <v>0</v>
      </c>
      <c r="E464" s="35">
        <f>(Fuentes!E1875/Fuentes!E$47)*100000</f>
        <v>0</v>
      </c>
      <c r="F464" s="28">
        <f>(Fuentes!F1875/Fuentes!F$47)*100000</f>
        <v>0</v>
      </c>
      <c r="G464" s="28">
        <f>(Fuentes!G1875/Fuentes!G$47)*100000</f>
        <v>0</v>
      </c>
      <c r="H464" s="28">
        <f>(Fuentes!H1875/Fuentes!H$47)*100000</f>
        <v>2.3723396583071741E-2</v>
      </c>
      <c r="I464" s="28">
        <f>(Fuentes!I1875/Fuentes!I$47)*100000</f>
        <v>0</v>
      </c>
      <c r="J464" s="28">
        <f>(Fuentes!J1875/Fuentes!J$47)*100000</f>
        <v>0</v>
      </c>
      <c r="K464" s="28">
        <f>(Fuentes!K1875/Fuentes!K$47)*100000</f>
        <v>0</v>
      </c>
      <c r="L464" s="28">
        <f>(Fuentes!L1875/Fuentes!L$47)*100000</f>
        <v>4.4749366628652081E-2</v>
      </c>
      <c r="M464" s="28">
        <f>(Fuentes!M1875/Fuentes!M$47)*100000</f>
        <v>6.6168287128018421E-2</v>
      </c>
      <c r="N464" s="36">
        <f>(Fuentes!N1875/Fuentes!N$47)*100000</f>
        <v>4.3552612753903562E-2</v>
      </c>
      <c r="O464" s="28">
        <f>(Fuentes!O1875/Fuentes!O$47)*100000</f>
        <v>2.1494046901299982E-2</v>
      </c>
      <c r="P464" s="28">
        <f>(Fuentes!P1875/Fuentes!P$47)*100000</f>
        <v>4.2434339225199888E-2</v>
      </c>
      <c r="Q464" s="28">
        <f>(Fuentes!Q1875/Fuentes!Q$47)*100000</f>
        <v>0</v>
      </c>
      <c r="R464" s="28">
        <f>(Fuentes!R1875/Fuentes!R$47)*100000</f>
        <v>0</v>
      </c>
      <c r="S464" s="28">
        <f>(Fuentes!S1875/Fuentes!S$47)*100000</f>
        <v>4.0896684342213642E-2</v>
      </c>
      <c r="T464" s="28">
        <f>(Fuentes!T1875/Fuentes!T$47)*100000</f>
        <v>4.0424612039945178E-2</v>
      </c>
      <c r="U464" s="28">
        <f>(Fuentes!U1875/Fuentes!U$47)*100000</f>
        <v>0</v>
      </c>
      <c r="V464" s="28">
        <f>(Fuentes!V1875/Fuentes!V$47)*100000</f>
        <v>0</v>
      </c>
    </row>
    <row r="465" spans="1:22" s="14" customFormat="1" ht="12.75" x14ac:dyDescent="0.2">
      <c r="A465" s="28" t="s">
        <v>3198</v>
      </c>
      <c r="B465" s="29" t="s">
        <v>3451</v>
      </c>
      <c r="C465" s="29">
        <f>(Fuentes!C1876/Fuentes!C$47)*100000</f>
        <v>0.20659294913759063</v>
      </c>
      <c r="D465" s="30">
        <f>(Fuentes!D1876/Fuentes!D$47)*100000</f>
        <v>0</v>
      </c>
      <c r="E465" s="35">
        <f>(Fuentes!E1876/Fuentes!E$47)*100000</f>
        <v>0.19888470429946467</v>
      </c>
      <c r="F465" s="28">
        <f>(Fuentes!F1876/Fuentes!F$47)*100000</f>
        <v>0</v>
      </c>
      <c r="G465" s="28">
        <f>(Fuentes!G1876/Fuentes!G$47)*100000</f>
        <v>0</v>
      </c>
      <c r="H465" s="36">
        <f>(Fuentes!H1876/Fuentes!H$47)*100000</f>
        <v>0</v>
      </c>
      <c r="I465" s="28">
        <f>(Fuentes!I1876/Fuentes!I$47)*100000</f>
        <v>0</v>
      </c>
      <c r="J465" s="28">
        <f>(Fuentes!J1876/Fuentes!J$47)*100000</f>
        <v>0</v>
      </c>
      <c r="K465" s="28">
        <f>(Fuentes!K1876/Fuentes!K$47)*100000</f>
        <v>0</v>
      </c>
      <c r="L465" s="28">
        <f>(Fuentes!L1876/Fuentes!L$47)*100000</f>
        <v>0</v>
      </c>
      <c r="M465" s="28">
        <f>(Fuentes!M1876/Fuentes!M$47)*100000</f>
        <v>0</v>
      </c>
      <c r="N465" s="28">
        <f>(Fuentes!N1876/Fuentes!N$47)*100000</f>
        <v>0</v>
      </c>
      <c r="O465" s="28">
        <f>(Fuentes!O1876/Fuentes!O$47)*100000</f>
        <v>0</v>
      </c>
      <c r="P465" s="28">
        <f>(Fuentes!P1876/Fuentes!P$47)*100000</f>
        <v>0</v>
      </c>
      <c r="Q465" s="28">
        <f>(Fuentes!Q1876/Fuentes!Q$47)*100000</f>
        <v>2.095066140190513E-2</v>
      </c>
      <c r="R465" s="28">
        <f>(Fuentes!R1876/Fuentes!R$47)*100000</f>
        <v>2.069439204739347E-2</v>
      </c>
      <c r="S465" s="28">
        <f>(Fuentes!S1876/Fuentes!S$47)*100000</f>
        <v>0.32717347473770914</v>
      </c>
      <c r="T465" s="28">
        <f>(Fuentes!T1876/Fuentes!T$47)*100000</f>
        <v>0</v>
      </c>
      <c r="U465" s="28">
        <f>(Fuentes!U1876/Fuentes!U$47)*100000</f>
        <v>0</v>
      </c>
      <c r="V465" s="28">
        <f>(Fuentes!V1876/Fuentes!V$47)*100000</f>
        <v>0</v>
      </c>
    </row>
    <row r="466" spans="1:22" s="14" customFormat="1" ht="12.75" x14ac:dyDescent="0.2">
      <c r="A466" s="28" t="s">
        <v>3198</v>
      </c>
      <c r="B466" s="29" t="s">
        <v>3452</v>
      </c>
      <c r="C466" s="29">
        <f>(Fuentes!C1877/Fuentes!C$47)*100000</f>
        <v>0</v>
      </c>
      <c r="D466" s="30">
        <f>(Fuentes!D1877/Fuentes!D$47)*100000</f>
        <v>0</v>
      </c>
      <c r="E466" s="35">
        <f>(Fuentes!E1877/Fuentes!E$47)*100000</f>
        <v>0</v>
      </c>
      <c r="F466" s="28">
        <f>(Fuentes!F1877/Fuentes!F$47)*100000</f>
        <v>0</v>
      </c>
      <c r="G466" s="28">
        <f>(Fuentes!G1877/Fuentes!G$47)*100000</f>
        <v>0</v>
      </c>
      <c r="H466" s="28">
        <f>(Fuentes!H1877/Fuentes!H$47)*100000</f>
        <v>0</v>
      </c>
      <c r="I466" s="28">
        <f>(Fuentes!I1877/Fuentes!I$47)*100000</f>
        <v>0</v>
      </c>
      <c r="J466" s="28">
        <f>(Fuentes!J1877/Fuentes!J$47)*100000</f>
        <v>0</v>
      </c>
      <c r="K466" s="28">
        <f>(Fuentes!K1877/Fuentes!K$47)*100000</f>
        <v>0</v>
      </c>
      <c r="L466" s="28">
        <f>(Fuentes!L1877/Fuentes!L$47)*100000</f>
        <v>0</v>
      </c>
      <c r="M466" s="28">
        <f>(Fuentes!M1877/Fuentes!M$47)*100000</f>
        <v>0</v>
      </c>
      <c r="N466" s="36">
        <f>(Fuentes!N1877/Fuentes!N$47)*100000</f>
        <v>0</v>
      </c>
      <c r="O466" s="28">
        <f>(Fuentes!O1877/Fuentes!O$47)*100000</f>
        <v>2.1494046901299982E-2</v>
      </c>
      <c r="P466" s="28">
        <f>(Fuentes!P1877/Fuentes!P$47)*100000</f>
        <v>2.1217169612599944E-2</v>
      </c>
      <c r="Q466" s="28">
        <f>(Fuentes!Q1877/Fuentes!Q$47)*100000</f>
        <v>2.095066140190513E-2</v>
      </c>
      <c r="R466" s="28">
        <f>(Fuentes!R1877/Fuentes!R$47)*100000</f>
        <v>0</v>
      </c>
      <c r="S466" s="28">
        <f>(Fuentes!S1877/Fuentes!S$47)*100000</f>
        <v>0</v>
      </c>
      <c r="T466" s="28">
        <f>(Fuentes!T1877/Fuentes!T$47)*100000</f>
        <v>0</v>
      </c>
      <c r="U466" s="28">
        <f>(Fuentes!U1877/Fuentes!U$47)*100000</f>
        <v>0</v>
      </c>
      <c r="V466" s="28">
        <f>(Fuentes!V1877/Fuentes!V$47)*100000</f>
        <v>1.9770664248846232E-2</v>
      </c>
    </row>
    <row r="467" spans="1:22" s="14" customFormat="1" ht="12.75" x14ac:dyDescent="0.2">
      <c r="A467" s="28" t="s">
        <v>3198</v>
      </c>
      <c r="B467" s="29" t="s">
        <v>3453</v>
      </c>
      <c r="C467" s="29">
        <f>(Fuentes!C1878/Fuentes!C$47)*100000</f>
        <v>0</v>
      </c>
      <c r="D467" s="30">
        <f>(Fuentes!D1878/Fuentes!D$47)*100000</f>
        <v>0</v>
      </c>
      <c r="E467" s="35">
        <f>(Fuentes!E1878/Fuentes!E$47)*100000</f>
        <v>0</v>
      </c>
      <c r="F467" s="28">
        <f>(Fuentes!F1878/Fuentes!F$47)*100000</f>
        <v>0</v>
      </c>
      <c r="G467" s="28">
        <f>(Fuentes!G1878/Fuentes!G$47)*100000</f>
        <v>0</v>
      </c>
      <c r="H467" s="36">
        <f>(Fuentes!H1878/Fuentes!H$47)*100000</f>
        <v>0</v>
      </c>
      <c r="I467" s="28">
        <f>(Fuentes!I1878/Fuentes!I$47)*100000</f>
        <v>0</v>
      </c>
      <c r="J467" s="28">
        <f>(Fuentes!J1878/Fuentes!J$47)*100000</f>
        <v>0</v>
      </c>
      <c r="K467" s="28">
        <f>(Fuentes!K1878/Fuentes!K$47)*100000</f>
        <v>0</v>
      </c>
      <c r="L467" s="28">
        <f>(Fuentes!L1878/Fuentes!L$47)*100000</f>
        <v>0</v>
      </c>
      <c r="M467" s="28">
        <f>(Fuentes!M1878/Fuentes!M$47)*100000</f>
        <v>2.2056095709339477E-2</v>
      </c>
      <c r="N467" s="28">
        <f>(Fuentes!N1878/Fuentes!N$47)*100000</f>
        <v>0</v>
      </c>
      <c r="O467" s="28">
        <f>(Fuentes!O1878/Fuentes!O$47)*100000</f>
        <v>2.1494046901299982E-2</v>
      </c>
      <c r="P467" s="28">
        <f>(Fuentes!P1878/Fuentes!P$47)*100000</f>
        <v>0</v>
      </c>
      <c r="Q467" s="28">
        <f>(Fuentes!Q1878/Fuentes!Q$47)*100000</f>
        <v>2.095066140190513E-2</v>
      </c>
      <c r="R467" s="28">
        <f>(Fuentes!R1878/Fuentes!R$47)*100000</f>
        <v>0</v>
      </c>
      <c r="S467" s="28">
        <f>(Fuentes!S1878/Fuentes!S$47)*100000</f>
        <v>0</v>
      </c>
      <c r="T467" s="28">
        <f>(Fuentes!T1878/Fuentes!T$47)*100000</f>
        <v>0</v>
      </c>
      <c r="U467" s="28">
        <f>(Fuentes!U1878/Fuentes!U$47)*100000</f>
        <v>0</v>
      </c>
      <c r="V467" s="28">
        <f>(Fuentes!V1878/Fuentes!V$47)*100000</f>
        <v>0</v>
      </c>
    </row>
    <row r="468" spans="1:22" s="14" customFormat="1" ht="12.75" x14ac:dyDescent="0.2">
      <c r="A468" s="28" t="s">
        <v>3198</v>
      </c>
      <c r="B468" s="29" t="s">
        <v>3454</v>
      </c>
      <c r="C468" s="29">
        <f>(Fuentes!C1879/Fuentes!C$47)*100000</f>
        <v>5.1648237284397658E-2</v>
      </c>
      <c r="D468" s="30">
        <f>(Fuentes!D1879/Fuentes!D$47)*100000</f>
        <v>2.5294727845169961E-2</v>
      </c>
      <c r="E468" s="35">
        <f>(Fuentes!E1879/Fuentes!E$47)*100000</f>
        <v>0.27346646841176392</v>
      </c>
      <c r="F468" s="28">
        <f>(Fuentes!F1879/Fuentes!F$47)*100000</f>
        <v>0.12235693721009053</v>
      </c>
      <c r="G468" s="28">
        <f>(Fuentes!G1879/Fuentes!G$47)*100000</f>
        <v>0.16860063639514497</v>
      </c>
      <c r="H468" s="28">
        <f>(Fuentes!H1879/Fuentes!H$47)*100000</f>
        <v>9.4893586332286964E-2</v>
      </c>
      <c r="I468" s="28">
        <f>(Fuentes!I1879/Fuentes!I$47)*100000</f>
        <v>0.11685912585634367</v>
      </c>
      <c r="J468" s="28">
        <f>(Fuentes!J1879/Fuentes!J$47)*100000</f>
        <v>0.18431523434530075</v>
      </c>
      <c r="K468" s="28">
        <f>(Fuentes!K1879/Fuentes!K$47)*100000</f>
        <v>0.15894316419510046</v>
      </c>
      <c r="L468" s="28">
        <f>(Fuentes!L1879/Fuentes!L$47)*100000</f>
        <v>0.13424809988595623</v>
      </c>
      <c r="M468" s="28">
        <f>(Fuentes!M1879/Fuentes!M$47)*100000</f>
        <v>0.28672924422141322</v>
      </c>
      <c r="N468" s="36">
        <f>(Fuentes!N1879/Fuentes!N$47)*100000</f>
        <v>0.21776306376951785</v>
      </c>
      <c r="O468" s="28">
        <f>(Fuentes!O1879/Fuentes!O$47)*100000</f>
        <v>0.27942260971689975</v>
      </c>
      <c r="P468" s="28">
        <f>(Fuentes!P1879/Fuentes!P$47)*100000</f>
        <v>0.23338886573859938</v>
      </c>
      <c r="Q468" s="28">
        <f>(Fuentes!Q1879/Fuentes!Q$47)*100000</f>
        <v>0</v>
      </c>
      <c r="R468" s="28">
        <f>(Fuentes!R1879/Fuentes!R$47)*100000</f>
        <v>0</v>
      </c>
      <c r="S468" s="28">
        <f>(Fuentes!S1879/Fuentes!S$47)*100000</f>
        <v>0</v>
      </c>
      <c r="T468" s="28">
        <f>(Fuentes!T1879/Fuentes!T$47)*100000</f>
        <v>0</v>
      </c>
      <c r="U468" s="28">
        <f>(Fuentes!U1879/Fuentes!U$47)*100000</f>
        <v>0</v>
      </c>
      <c r="V468" s="28">
        <f>(Fuentes!V1879/Fuentes!V$47)*100000</f>
        <v>0</v>
      </c>
    </row>
    <row r="469" spans="1:22" s="14" customFormat="1" ht="12.75" x14ac:dyDescent="0.2">
      <c r="A469" s="28" t="s">
        <v>3198</v>
      </c>
      <c r="B469" s="29" t="s">
        <v>3455</v>
      </c>
      <c r="C469" s="29">
        <f>(Fuentes!C1880/Fuentes!C$47)*100000</f>
        <v>5.1648237284397658E-2</v>
      </c>
      <c r="D469" s="30">
        <f>(Fuentes!D1880/Fuentes!D$47)*100000</f>
        <v>0</v>
      </c>
      <c r="E469" s="35">
        <f>(Fuentes!E1880/Fuentes!E$47)*100000</f>
        <v>0</v>
      </c>
      <c r="F469" s="28">
        <f>(Fuentes!F1880/Fuentes!F$47)*100000</f>
        <v>0</v>
      </c>
      <c r="G469" s="28">
        <f>(Fuentes!G1880/Fuentes!G$47)*100000</f>
        <v>0</v>
      </c>
      <c r="H469" s="36">
        <f>(Fuentes!H1880/Fuentes!H$47)*100000</f>
        <v>4.7446793166143482E-2</v>
      </c>
      <c r="I469" s="28">
        <f>(Fuentes!I1880/Fuentes!I$47)*100000</f>
        <v>2.3371825171268734E-2</v>
      </c>
      <c r="J469" s="28">
        <f>(Fuentes!J1880/Fuentes!J$47)*100000</f>
        <v>2.3039404293162594E-2</v>
      </c>
      <c r="K469" s="28">
        <f>(Fuentes!K1880/Fuentes!K$47)*100000</f>
        <v>0</v>
      </c>
      <c r="L469" s="28">
        <f>(Fuentes!L1880/Fuentes!L$47)*100000</f>
        <v>0</v>
      </c>
      <c r="M469" s="28">
        <f>(Fuentes!M1880/Fuentes!M$47)*100000</f>
        <v>2.2056095709339477E-2</v>
      </c>
      <c r="N469" s="28">
        <f>(Fuentes!N1880/Fuentes!N$47)*100000</f>
        <v>2.1776306376951781E-2</v>
      </c>
      <c r="O469" s="28">
        <f>(Fuentes!O1880/Fuentes!O$47)*100000</f>
        <v>0</v>
      </c>
      <c r="P469" s="28">
        <f>(Fuentes!P1880/Fuentes!P$47)*100000</f>
        <v>0</v>
      </c>
      <c r="Q469" s="28">
        <f>(Fuentes!Q1880/Fuentes!Q$47)*100000</f>
        <v>0</v>
      </c>
      <c r="R469" s="28">
        <f>(Fuentes!R1880/Fuentes!R$47)*100000</f>
        <v>0</v>
      </c>
      <c r="S469" s="28">
        <f>(Fuentes!S1880/Fuentes!S$47)*100000</f>
        <v>0</v>
      </c>
      <c r="T469" s="28">
        <f>(Fuentes!T1880/Fuentes!T$47)*100000</f>
        <v>0</v>
      </c>
      <c r="U469" s="28">
        <f>(Fuentes!U1880/Fuentes!U$47)*100000</f>
        <v>0</v>
      </c>
      <c r="V469" s="28">
        <f>(Fuentes!V1880/Fuentes!V$47)*100000</f>
        <v>0</v>
      </c>
    </row>
    <row r="470" spans="1:22" s="14" customFormat="1" ht="12.75" x14ac:dyDescent="0.2">
      <c r="A470" s="28" t="s">
        <v>3198</v>
      </c>
      <c r="B470" s="29" t="s">
        <v>3456</v>
      </c>
      <c r="C470" s="29">
        <f>(Fuentes!C1881/Fuentes!C$47)*100000</f>
        <v>0.28406530506418715</v>
      </c>
      <c r="D470" s="30">
        <f>(Fuentes!D1881/Fuentes!D$47)*100000</f>
        <v>5.0589455690339923E-2</v>
      </c>
      <c r="E470" s="35">
        <f>(Fuentes!E1881/Fuentes!E$47)*100000</f>
        <v>7.4581764112299248E-2</v>
      </c>
      <c r="F470" s="28">
        <f>(Fuentes!F1881/Fuentes!F$47)*100000</f>
        <v>0.34259942418825345</v>
      </c>
      <c r="G470" s="28">
        <f>(Fuentes!G1881/Fuentes!G$47)*100000</f>
        <v>0.14451483119583855</v>
      </c>
      <c r="H470" s="28">
        <f>(Fuentes!H1881/Fuentes!H$47)*100000</f>
        <v>9.4893586332286964E-2</v>
      </c>
      <c r="I470" s="28">
        <f>(Fuentes!I1881/Fuentes!I$47)*100000</f>
        <v>7.0115475513806202E-2</v>
      </c>
      <c r="J470" s="28">
        <f>(Fuentes!J1881/Fuentes!J$47)*100000</f>
        <v>0</v>
      </c>
      <c r="K470" s="28">
        <f>(Fuentes!K1881/Fuentes!K$47)*100000</f>
        <v>9.0824665254343129E-2</v>
      </c>
      <c r="L470" s="28">
        <f>(Fuentes!L1881/Fuentes!L$47)*100000</f>
        <v>0.13424809988595623</v>
      </c>
      <c r="M470" s="28">
        <f>(Fuentes!M1881/Fuentes!M$47)*100000</f>
        <v>6.6168287128018421E-2</v>
      </c>
      <c r="N470" s="36">
        <f>(Fuentes!N1881/Fuentes!N$47)*100000</f>
        <v>8.7105225507807124E-2</v>
      </c>
      <c r="O470" s="28">
        <f>(Fuentes!O1881/Fuentes!O$47)*100000</f>
        <v>8.5976187605199927E-2</v>
      </c>
      <c r="P470" s="28">
        <f>(Fuentes!P1881/Fuentes!P$47)*100000</f>
        <v>4.2434339225199888E-2</v>
      </c>
      <c r="Q470" s="28">
        <f>(Fuentes!Q1881/Fuentes!Q$47)*100000</f>
        <v>6.2851984205715389E-2</v>
      </c>
      <c r="R470" s="28">
        <f>(Fuentes!R1881/Fuentes!R$47)*100000</f>
        <v>0.12416635228436081</v>
      </c>
      <c r="S470" s="28">
        <f>(Fuentes!S1881/Fuentes!S$47)*100000</f>
        <v>0</v>
      </c>
      <c r="T470" s="28">
        <f>(Fuentes!T1881/Fuentes!T$47)*100000</f>
        <v>0.12127383611983551</v>
      </c>
      <c r="U470" s="28">
        <f>(Fuentes!U1881/Fuentes!U$47)*100000</f>
        <v>7.9945748814854237E-2</v>
      </c>
      <c r="V470" s="28">
        <f>(Fuentes!V1881/Fuentes!V$47)*100000</f>
        <v>9.8853321244231157E-2</v>
      </c>
    </row>
    <row r="471" spans="1:22" s="14" customFormat="1" ht="12.75" x14ac:dyDescent="0.2">
      <c r="A471" s="28" t="s">
        <v>3198</v>
      </c>
      <c r="B471" s="29" t="s">
        <v>3457</v>
      </c>
      <c r="C471" s="29">
        <f>(Fuentes!C1882/Fuentes!C$47)*100000</f>
        <v>0</v>
      </c>
      <c r="D471" s="30">
        <f>(Fuentes!D1882/Fuentes!D$47)*100000</f>
        <v>0</v>
      </c>
      <c r="E471" s="35">
        <f>(Fuentes!E1882/Fuentes!E$47)*100000</f>
        <v>0</v>
      </c>
      <c r="F471" s="28">
        <f>(Fuentes!F1882/Fuentes!F$47)*100000</f>
        <v>0</v>
      </c>
      <c r="G471" s="28">
        <f>(Fuentes!G1882/Fuentes!G$47)*100000</f>
        <v>0</v>
      </c>
      <c r="H471" s="36">
        <f>(Fuentes!H1882/Fuentes!H$47)*100000</f>
        <v>0</v>
      </c>
      <c r="I471" s="28">
        <f>(Fuentes!I1882/Fuentes!I$47)*100000</f>
        <v>0</v>
      </c>
      <c r="J471" s="28">
        <f>(Fuentes!J1882/Fuentes!J$47)*100000</f>
        <v>0</v>
      </c>
      <c r="K471" s="28">
        <f>(Fuentes!K1882/Fuentes!K$47)*100000</f>
        <v>0</v>
      </c>
      <c r="L471" s="28">
        <f>(Fuentes!L1882/Fuentes!L$47)*100000</f>
        <v>2.237468331432604E-2</v>
      </c>
      <c r="M471" s="28">
        <f>(Fuentes!M1882/Fuentes!M$47)*100000</f>
        <v>0</v>
      </c>
      <c r="N471" s="28">
        <f>(Fuentes!N1882/Fuentes!N$47)*100000</f>
        <v>2.1776306376951781E-2</v>
      </c>
      <c r="O471" s="28">
        <f>(Fuentes!O1882/Fuentes!O$47)*100000</f>
        <v>0</v>
      </c>
      <c r="P471" s="28">
        <f>(Fuentes!P1882/Fuentes!P$47)*100000</f>
        <v>0</v>
      </c>
      <c r="Q471" s="28">
        <f>(Fuentes!Q1882/Fuentes!Q$47)*100000</f>
        <v>0</v>
      </c>
      <c r="R471" s="28">
        <f>(Fuentes!R1882/Fuentes!R$47)*100000</f>
        <v>0</v>
      </c>
      <c r="S471" s="28">
        <f>(Fuentes!S1882/Fuentes!S$47)*100000</f>
        <v>0</v>
      </c>
      <c r="T471" s="28">
        <f>(Fuentes!T1882/Fuentes!T$47)*100000</f>
        <v>2.0212306019972589E-2</v>
      </c>
      <c r="U471" s="28">
        <f>(Fuentes!U1882/Fuentes!U$47)*100000</f>
        <v>1.9986437203713559E-2</v>
      </c>
      <c r="V471" s="28">
        <f>(Fuentes!V1882/Fuentes!V$47)*100000</f>
        <v>3.9541328497692464E-2</v>
      </c>
    </row>
    <row r="472" spans="1:22" s="14" customFormat="1" ht="12.75" x14ac:dyDescent="0.2">
      <c r="A472" s="28" t="s">
        <v>3198</v>
      </c>
      <c r="B472" s="29" t="s">
        <v>3458</v>
      </c>
      <c r="C472" s="29">
        <f>(Fuentes!C1883/Fuentes!C$47)*100000</f>
        <v>3.8736177963298251</v>
      </c>
      <c r="D472" s="30">
        <f>(Fuentes!D1883/Fuentes!D$47)*100000</f>
        <v>4.097745910917534</v>
      </c>
      <c r="E472" s="35">
        <f>(Fuentes!E1883/Fuentes!E$47)*100000</f>
        <v>3.3561793850534665</v>
      </c>
      <c r="F472" s="28">
        <f>(Fuentes!F1883/Fuentes!F$47)*100000</f>
        <v>4.1846072525850966</v>
      </c>
      <c r="G472" s="28">
        <f>(Fuentes!G1883/Fuentes!G$47)*100000</f>
        <v>3.3960985331022062</v>
      </c>
      <c r="H472" s="28">
        <f>(Fuentes!H1883/Fuentes!H$47)*100000</f>
        <v>4.6972325234482053</v>
      </c>
      <c r="I472" s="28">
        <f>(Fuentes!I1883/Fuentes!I$47)*100000</f>
        <v>3.9498384539444165</v>
      </c>
      <c r="J472" s="28">
        <f>(Fuentes!J1883/Fuentes!J$47)*100000</f>
        <v>3.2024771967496006</v>
      </c>
      <c r="K472" s="28">
        <f>(Fuentes!K1883/Fuentes!K$47)*100000</f>
        <v>2.7474461239438797</v>
      </c>
      <c r="L472" s="28">
        <f>(Fuentes!L1883/Fuentes!L$47)*100000</f>
        <v>1.4096050488025405</v>
      </c>
      <c r="M472" s="28">
        <f>(Fuentes!M1883/Fuentes!M$47)*100000</f>
        <v>4.4994435247052538</v>
      </c>
      <c r="N472" s="36">
        <f>(Fuentes!N1883/Fuentes!N$47)*100000</f>
        <v>3.1793407310349604</v>
      </c>
      <c r="O472" s="28">
        <f>(Fuentes!O1883/Fuentes!O$47)*100000</f>
        <v>4.470761755470396</v>
      </c>
      <c r="P472" s="28">
        <f>(Fuentes!P1883/Fuentes!P$47)*100000</f>
        <v>5.9620246611405836</v>
      </c>
      <c r="Q472" s="28">
        <f>(Fuentes!Q1883/Fuentes!Q$47)*100000</f>
        <v>0.98468108588954095</v>
      </c>
      <c r="R472" s="28">
        <f>(Fuentes!R1883/Fuentes!R$47)*100000</f>
        <v>3.4352690798673158</v>
      </c>
      <c r="S472" s="28">
        <f>(Fuentes!S1883/Fuentes!S$47)*100000</f>
        <v>0.59300192296209775</v>
      </c>
      <c r="T472" s="28">
        <f>(Fuentes!T1883/Fuentes!T$47)*100000</f>
        <v>3.6180027775750934</v>
      </c>
      <c r="U472" s="28">
        <f>(Fuentes!U1883/Fuentes!U$47)*100000</f>
        <v>2.398372464445627</v>
      </c>
      <c r="V472" s="28">
        <f>(Fuentes!V1883/Fuentes!V$47)*100000</f>
        <v>5.9509699389027162</v>
      </c>
    </row>
    <row r="473" spans="1:22" s="14" customFormat="1" ht="12.75" x14ac:dyDescent="0.2">
      <c r="A473" s="28" t="s">
        <v>3198</v>
      </c>
      <c r="B473" s="29" t="s">
        <v>3459</v>
      </c>
      <c r="C473" s="29">
        <f>(Fuentes!C1884/Fuentes!C$47)*100000</f>
        <v>0.49065825420177778</v>
      </c>
      <c r="D473" s="30">
        <f>(Fuentes!D1884/Fuentes!D$47)*100000</f>
        <v>0.60707346828407893</v>
      </c>
      <c r="E473" s="35">
        <f>(Fuentes!E1884/Fuentes!E$47)*100000</f>
        <v>0.69609646504812639</v>
      </c>
      <c r="F473" s="28">
        <f>(Fuentes!F1884/Fuentes!F$47)*100000</f>
        <v>0.56284191116641646</v>
      </c>
      <c r="G473" s="28">
        <f>(Fuentes!G1884/Fuentes!G$47)*100000</f>
        <v>0.48171610398612852</v>
      </c>
      <c r="H473" s="36">
        <f>(Fuentes!H1884/Fuentes!H$47)*100000</f>
        <v>0.42702113849529139</v>
      </c>
      <c r="I473" s="28">
        <f>(Fuentes!I1884/Fuentes!I$47)*100000</f>
        <v>0.25709007688395608</v>
      </c>
      <c r="J473" s="28">
        <f>(Fuentes!J1884/Fuentes!J$47)*100000</f>
        <v>0.41470927727692669</v>
      </c>
      <c r="K473" s="28">
        <f>(Fuentes!K1884/Fuentes!K$47)*100000</f>
        <v>0.56765415783964446</v>
      </c>
      <c r="L473" s="28">
        <f>(Fuentes!L1884/Fuentes!L$47)*100000</f>
        <v>0.46986834960084684</v>
      </c>
      <c r="M473" s="28">
        <f>(Fuentes!M1884/Fuentes!M$47)*100000</f>
        <v>0.37495362705877111</v>
      </c>
      <c r="N473" s="28">
        <f>(Fuentes!N1884/Fuentes!N$47)*100000</f>
        <v>0.65328919130855345</v>
      </c>
      <c r="O473" s="28">
        <f>(Fuentes!O1884/Fuentes!O$47)*100000</f>
        <v>0.47286903182859957</v>
      </c>
      <c r="P473" s="28">
        <f>(Fuentes!P1884/Fuentes!P$47)*100000</f>
        <v>0.42434339225199885</v>
      </c>
      <c r="Q473" s="28">
        <f>(Fuentes!Q1884/Fuentes!Q$47)*100000</f>
        <v>0.41901322803810254</v>
      </c>
      <c r="R473" s="28">
        <f>(Fuentes!R1884/Fuentes!R$47)*100000</f>
        <v>0.49666540913744323</v>
      </c>
      <c r="S473" s="28">
        <f>(Fuentes!S1884/Fuentes!S$47)*100000</f>
        <v>0.32717347473770914</v>
      </c>
      <c r="T473" s="28">
        <f>(Fuentes!T1884/Fuentes!T$47)*100000</f>
        <v>0.52551995651928729</v>
      </c>
      <c r="U473" s="28">
        <f>(Fuentes!U1884/Fuentes!U$47)*100000</f>
        <v>0.45968805568541188</v>
      </c>
      <c r="V473" s="28">
        <f>(Fuentes!V1884/Fuentes!V$47)*100000</f>
        <v>0.77105590570500304</v>
      </c>
    </row>
    <row r="474" spans="1:22" s="14" customFormat="1" ht="12.75" x14ac:dyDescent="0.2">
      <c r="A474" s="28" t="s">
        <v>3198</v>
      </c>
      <c r="B474" s="29" t="s">
        <v>3460</v>
      </c>
      <c r="C474" s="29">
        <f>(Fuentes!C1885/Fuentes!C$47)*100000</f>
        <v>0.154944711853193</v>
      </c>
      <c r="D474" s="30">
        <f>(Fuentes!D1885/Fuentes!D$47)*100000</f>
        <v>0.15176836707101973</v>
      </c>
      <c r="E474" s="35">
        <f>(Fuentes!E1885/Fuentes!E$47)*100000</f>
        <v>0.1491635282245985</v>
      </c>
      <c r="F474" s="28">
        <f>(Fuentes!F1885/Fuentes!F$47)*100000</f>
        <v>7.3414162326054314E-2</v>
      </c>
      <c r="G474" s="28">
        <f>(Fuentes!G1885/Fuentes!G$47)*100000</f>
        <v>0.24085805199306426</v>
      </c>
      <c r="H474" s="28">
        <f>(Fuentes!H1885/Fuentes!H$47)*100000</f>
        <v>9.4893586332286964E-2</v>
      </c>
      <c r="I474" s="28">
        <f>(Fuentes!I1885/Fuentes!I$47)*100000</f>
        <v>2.3371825171268734E-2</v>
      </c>
      <c r="J474" s="28">
        <f>(Fuentes!J1885/Fuentes!J$47)*100000</f>
        <v>0.11519702146581298</v>
      </c>
      <c r="K474" s="28">
        <f>(Fuentes!K1885/Fuentes!K$47)*100000</f>
        <v>0.13623699788151469</v>
      </c>
      <c r="L474" s="28">
        <f>(Fuentes!L1885/Fuentes!L$47)*100000</f>
        <v>4.4749366628652081E-2</v>
      </c>
      <c r="M474" s="28">
        <f>(Fuentes!M1885/Fuentes!M$47)*100000</f>
        <v>2.2056095709339477E-2</v>
      </c>
      <c r="N474" s="36">
        <f>(Fuentes!N1885/Fuentes!N$47)*100000</f>
        <v>6.5328919130855354E-2</v>
      </c>
      <c r="O474" s="28">
        <f>(Fuentes!O1885/Fuentes!O$47)*100000</f>
        <v>0</v>
      </c>
      <c r="P474" s="28">
        <f>(Fuentes!P1885/Fuentes!P$47)*100000</f>
        <v>4.2434339225199888E-2</v>
      </c>
      <c r="Q474" s="28">
        <f>(Fuentes!Q1885/Fuentes!Q$47)*100000</f>
        <v>4.1901322803810259E-2</v>
      </c>
      <c r="R474" s="28">
        <f>(Fuentes!R1885/Fuentes!R$47)*100000</f>
        <v>6.2083176142180403E-2</v>
      </c>
      <c r="S474" s="28">
        <f>(Fuentes!S1885/Fuentes!S$47)*100000</f>
        <v>0</v>
      </c>
      <c r="T474" s="28">
        <f>(Fuentes!T1885/Fuentes!T$47)*100000</f>
        <v>8.0849224079890356E-2</v>
      </c>
      <c r="U474" s="28">
        <f>(Fuentes!U1885/Fuentes!U$47)*100000</f>
        <v>0</v>
      </c>
      <c r="V474" s="28">
        <f>(Fuentes!V1885/Fuentes!V$47)*100000</f>
        <v>0</v>
      </c>
    </row>
    <row r="475" spans="1:22" s="14" customFormat="1" ht="12.75" x14ac:dyDescent="0.2">
      <c r="A475" s="28" t="s">
        <v>3198</v>
      </c>
      <c r="B475" s="29" t="s">
        <v>3461</v>
      </c>
      <c r="C475" s="29">
        <f>(Fuentes!C1886/Fuentes!C$47)*100000</f>
        <v>0</v>
      </c>
      <c r="D475" s="30">
        <f>(Fuentes!D1886/Fuentes!D$47)*100000</f>
        <v>0</v>
      </c>
      <c r="E475" s="35">
        <f>(Fuentes!E1886/Fuentes!E$47)*100000</f>
        <v>0.12430294018716544</v>
      </c>
      <c r="F475" s="28">
        <f>(Fuentes!F1886/Fuentes!F$47)*100000</f>
        <v>2.4471387442018107E-2</v>
      </c>
      <c r="G475" s="28">
        <f>(Fuentes!G1886/Fuentes!G$47)*100000</f>
        <v>0.19268644159445142</v>
      </c>
      <c r="H475" s="36">
        <f>(Fuentes!H1886/Fuentes!H$47)*100000</f>
        <v>4.7446793166143482E-2</v>
      </c>
      <c r="I475" s="28">
        <f>(Fuentes!I1886/Fuentes!I$47)*100000</f>
        <v>0.18697460137014987</v>
      </c>
      <c r="J475" s="28">
        <f>(Fuentes!J1886/Fuentes!J$47)*100000</f>
        <v>6.9118212879487786E-2</v>
      </c>
      <c r="K475" s="28">
        <f>(Fuentes!K1886/Fuentes!K$47)*100000</f>
        <v>0.13623699788151469</v>
      </c>
      <c r="L475" s="28">
        <f>(Fuentes!L1886/Fuentes!L$47)*100000</f>
        <v>0.15662278320028228</v>
      </c>
      <c r="M475" s="28">
        <f>(Fuentes!M1886/Fuentes!M$47)*100000</f>
        <v>0.17644876567471582</v>
      </c>
      <c r="N475" s="28">
        <f>(Fuentes!N1886/Fuentes!N$47)*100000</f>
        <v>0.28309198290037318</v>
      </c>
      <c r="O475" s="28">
        <f>(Fuentes!O1886/Fuentes!O$47)*100000</f>
        <v>0.27942260971689975</v>
      </c>
      <c r="P475" s="28">
        <f>(Fuentes!P1886/Fuentes!P$47)*100000</f>
        <v>0.21217169612599943</v>
      </c>
      <c r="Q475" s="28">
        <f>(Fuentes!Q1886/Fuentes!Q$47)*100000</f>
        <v>0.27235859822476666</v>
      </c>
      <c r="R475" s="28">
        <f>(Fuentes!R1886/Fuentes!R$47)*100000</f>
        <v>0.26902709661611507</v>
      </c>
      <c r="S475" s="28">
        <f>(Fuentes!S1886/Fuentes!S$47)*100000</f>
        <v>0.32717347473770914</v>
      </c>
      <c r="T475" s="28">
        <f>(Fuentes!T1886/Fuentes!T$47)*100000</f>
        <v>0.46488303845936951</v>
      </c>
      <c r="U475" s="28">
        <f>(Fuentes!U1886/Fuentes!U$47)*100000</f>
        <v>0.69952530212997455</v>
      </c>
      <c r="V475" s="28">
        <f>(Fuentes!V1886/Fuentes!V$47)*100000</f>
        <v>0.88967989119808044</v>
      </c>
    </row>
    <row r="476" spans="1:22" s="14" customFormat="1" ht="12.75" x14ac:dyDescent="0.2">
      <c r="A476" s="28" t="s">
        <v>3198</v>
      </c>
      <c r="B476" s="29" t="s">
        <v>3462</v>
      </c>
      <c r="C476" s="29">
        <f>(Fuentes!C1887/Fuentes!C$47)*100000</f>
        <v>0</v>
      </c>
      <c r="D476" s="30">
        <f>(Fuentes!D1887/Fuentes!D$47)*100000</f>
        <v>0</v>
      </c>
      <c r="E476" s="35">
        <f>(Fuentes!E1887/Fuentes!E$47)*100000</f>
        <v>0</v>
      </c>
      <c r="F476" s="28">
        <f>(Fuentes!F1887/Fuentes!F$47)*100000</f>
        <v>0</v>
      </c>
      <c r="G476" s="28">
        <f>(Fuentes!G1887/Fuentes!G$47)*100000</f>
        <v>0</v>
      </c>
      <c r="H476" s="28">
        <f>(Fuentes!H1887/Fuentes!H$47)*100000</f>
        <v>0</v>
      </c>
      <c r="I476" s="28">
        <f>(Fuentes!I1887/Fuentes!I$47)*100000</f>
        <v>2.3371825171268734E-2</v>
      </c>
      <c r="J476" s="28">
        <f>(Fuentes!J1887/Fuentes!J$47)*100000</f>
        <v>2.3039404293162594E-2</v>
      </c>
      <c r="K476" s="28">
        <f>(Fuentes!K1887/Fuentes!K$47)*100000</f>
        <v>0.1135308315679289</v>
      </c>
      <c r="L476" s="28">
        <f>(Fuentes!L1887/Fuentes!L$47)*100000</f>
        <v>2.237468331432604E-2</v>
      </c>
      <c r="M476" s="28">
        <f>(Fuentes!M1887/Fuentes!M$47)*100000</f>
        <v>2.2056095709339477E-2</v>
      </c>
      <c r="N476" s="36">
        <f>(Fuentes!N1887/Fuentes!N$47)*100000</f>
        <v>4.3552612753903562E-2</v>
      </c>
      <c r="O476" s="28">
        <f>(Fuentes!O1887/Fuentes!O$47)*100000</f>
        <v>0</v>
      </c>
      <c r="P476" s="28">
        <f>(Fuentes!P1887/Fuentes!P$47)*100000</f>
        <v>0</v>
      </c>
      <c r="Q476" s="28">
        <f>(Fuentes!Q1887/Fuentes!Q$47)*100000</f>
        <v>2.095066140190513E-2</v>
      </c>
      <c r="R476" s="28">
        <f>(Fuentes!R1887/Fuentes!R$47)*100000</f>
        <v>0</v>
      </c>
      <c r="S476" s="28">
        <f>(Fuentes!S1887/Fuentes!S$47)*100000</f>
        <v>2.0448342171106821E-2</v>
      </c>
      <c r="T476" s="28">
        <f>(Fuentes!T1887/Fuentes!T$47)*100000</f>
        <v>0</v>
      </c>
      <c r="U476" s="28">
        <f>(Fuentes!U1887/Fuentes!U$47)*100000</f>
        <v>0</v>
      </c>
      <c r="V476" s="28">
        <f>(Fuentes!V1887/Fuentes!V$47)*100000</f>
        <v>0</v>
      </c>
    </row>
    <row r="477" spans="1:22" s="14" customFormat="1" ht="12.75" x14ac:dyDescent="0.2">
      <c r="A477" s="28" t="s">
        <v>3198</v>
      </c>
      <c r="B477" s="29" t="s">
        <v>3463</v>
      </c>
      <c r="C477" s="29">
        <f>(Fuentes!C1888/Fuentes!C$47)*100000</f>
        <v>0.12912059321099417</v>
      </c>
      <c r="D477" s="30">
        <f>(Fuentes!D1888/Fuentes!D$47)*100000</f>
        <v>0.27824200629686957</v>
      </c>
      <c r="E477" s="35">
        <f>(Fuentes!E1888/Fuentes!E$47)*100000</f>
        <v>0.22374529233689774</v>
      </c>
      <c r="F477" s="28">
        <f>(Fuentes!F1888/Fuentes!F$47)*100000</f>
        <v>0.24471387442018105</v>
      </c>
      <c r="G477" s="28">
        <f>(Fuentes!G1888/Fuentes!G$47)*100000</f>
        <v>0.12042902599653213</v>
      </c>
      <c r="H477" s="36">
        <f>(Fuentes!H1888/Fuentes!H$47)*100000</f>
        <v>7.1170189749215226E-2</v>
      </c>
      <c r="I477" s="28">
        <f>(Fuentes!I1888/Fuentes!I$47)*100000</f>
        <v>0.28046190205522481</v>
      </c>
      <c r="J477" s="28">
        <f>(Fuentes!J1888/Fuentes!J$47)*100000</f>
        <v>0.23039404293162596</v>
      </c>
      <c r="K477" s="28">
        <f>(Fuentes!K1888/Fuentes!K$47)*100000</f>
        <v>0.24976782944944356</v>
      </c>
      <c r="L477" s="28">
        <f>(Fuentes!L1888/Fuentes!L$47)*100000</f>
        <v>0.24612151645758645</v>
      </c>
      <c r="M477" s="28">
        <f>(Fuentes!M1888/Fuentes!M$47)*100000</f>
        <v>8.8224382837357909E-2</v>
      </c>
      <c r="N477" s="28">
        <f>(Fuentes!N1888/Fuentes!N$47)*100000</f>
        <v>6.5328919130855354E-2</v>
      </c>
      <c r="O477" s="28">
        <f>(Fuentes!O1888/Fuentes!O$47)*100000</f>
        <v>0.1074702345064999</v>
      </c>
      <c r="P477" s="28">
        <f>(Fuentes!P1888/Fuentes!P$47)*100000</f>
        <v>0.16973735690079955</v>
      </c>
      <c r="Q477" s="28">
        <f>(Fuentes!Q1888/Fuentes!Q$47)*100000</f>
        <v>0.10475330700952563</v>
      </c>
      <c r="R477" s="28">
        <f>(Fuentes!R1888/Fuentes!R$47)*100000</f>
        <v>0.16555513637914776</v>
      </c>
      <c r="S477" s="28">
        <f>(Fuentes!S1888/Fuentes!S$47)*100000</f>
        <v>0.12269005302664091</v>
      </c>
      <c r="T477" s="28">
        <f>(Fuentes!T1888/Fuentes!T$47)*100000</f>
        <v>0.1819107541797533</v>
      </c>
      <c r="U477" s="28">
        <f>(Fuentes!U1888/Fuentes!U$47)*100000</f>
        <v>0.17987793483342204</v>
      </c>
      <c r="V477" s="28">
        <f>(Fuentes!V1888/Fuentes!V$47)*100000</f>
        <v>0.19770664248846231</v>
      </c>
    </row>
    <row r="478" spans="1:22" s="14" customFormat="1" ht="12.75" x14ac:dyDescent="0.2">
      <c r="A478" s="28" t="s">
        <v>3198</v>
      </c>
      <c r="B478" s="29" t="s">
        <v>3464</v>
      </c>
      <c r="C478" s="29">
        <f>(Fuentes!C1889/Fuentes!C$47)*100000</f>
        <v>6.171964355485521</v>
      </c>
      <c r="D478" s="30">
        <f>(Fuentes!D1889/Fuentes!D$47)*100000</f>
        <v>2.9088937021945456</v>
      </c>
      <c r="E478" s="35">
        <f>(Fuentes!E1889/Fuentes!E$47)*100000</f>
        <v>4.0025546740267268</v>
      </c>
      <c r="F478" s="28">
        <f>(Fuentes!F1889/Fuentes!F$47)*100000</f>
        <v>3.5238797916506073</v>
      </c>
      <c r="G478" s="28">
        <f>(Fuentes!G1889/Fuentes!G$47)*100000</f>
        <v>4.1909301046793184</v>
      </c>
      <c r="H478" s="28">
        <f>(Fuentes!H1889/Fuentes!H$47)*100000</f>
        <v>3.819466849874551</v>
      </c>
      <c r="I478" s="28">
        <f>(Fuentes!I1889/Fuentes!I$47)*100000</f>
        <v>2.7812471953809794</v>
      </c>
      <c r="J478" s="28">
        <f>(Fuentes!J1889/Fuentes!J$47)*100000</f>
        <v>2.1657040035572841</v>
      </c>
      <c r="K478" s="28">
        <f>(Fuentes!K1889/Fuentes!K$47)*100000</f>
        <v>2.6339152923759506</v>
      </c>
      <c r="L478" s="28">
        <f>(Fuentes!L1889/Fuentes!L$47)*100000</f>
        <v>3.0205822474340152</v>
      </c>
      <c r="M478" s="28">
        <f>(Fuentes!M1889/Fuentes!M$47)*100000</f>
        <v>3.6613118877503532</v>
      </c>
      <c r="N478" s="36">
        <f>(Fuentes!N1889/Fuentes!N$47)*100000</f>
        <v>5.0303267730758616</v>
      </c>
      <c r="O478" s="28">
        <f>(Fuentes!O1889/Fuentes!O$47)*100000</f>
        <v>5.0296069749041958</v>
      </c>
      <c r="P478" s="28">
        <f>(Fuentes!P1889/Fuentes!P$47)*100000</f>
        <v>5.5164640992759857</v>
      </c>
      <c r="Q478" s="28">
        <f>(Fuentes!Q1889/Fuentes!Q$47)*100000</f>
        <v>3.5406617769219664</v>
      </c>
      <c r="R478" s="28">
        <f>(Fuentes!R1889/Fuentes!R$47)*100000</f>
        <v>3.4559634719147092</v>
      </c>
      <c r="S478" s="28">
        <f>(Fuentes!S1889/Fuentes!S$47)*100000</f>
        <v>4.1101167763924709</v>
      </c>
      <c r="T478" s="28">
        <f>(Fuentes!T1889/Fuentes!T$47)*100000</f>
        <v>4.8711657508133941</v>
      </c>
      <c r="U478" s="28">
        <f>(Fuentes!U1889/Fuentes!U$47)*100000</f>
        <v>2.9380062689458932</v>
      </c>
      <c r="V478" s="28">
        <f>(Fuentes!V1889/Fuentes!V$47)*100000</f>
        <v>4.4286287917415565</v>
      </c>
    </row>
    <row r="479" spans="1:22" s="14" customFormat="1" ht="12.75" x14ac:dyDescent="0.2">
      <c r="A479" s="28" t="s">
        <v>3198</v>
      </c>
      <c r="B479" s="29" t="s">
        <v>3465</v>
      </c>
      <c r="C479" s="29">
        <f>(Fuentes!C1890/Fuentes!C$47)*100000</f>
        <v>0</v>
      </c>
      <c r="D479" s="30">
        <f>(Fuentes!D1890/Fuentes!D$47)*100000</f>
        <v>0</v>
      </c>
      <c r="E479" s="35">
        <f>(Fuentes!E1890/Fuentes!E$47)*100000</f>
        <v>0</v>
      </c>
      <c r="F479" s="28">
        <f>(Fuentes!F1890/Fuentes!F$47)*100000</f>
        <v>0</v>
      </c>
      <c r="G479" s="28">
        <f>(Fuentes!G1890/Fuentes!G$47)*100000</f>
        <v>0</v>
      </c>
      <c r="H479" s="36">
        <f>(Fuentes!H1890/Fuentes!H$47)*100000</f>
        <v>0</v>
      </c>
      <c r="I479" s="28">
        <f>(Fuentes!I1890/Fuentes!I$47)*100000</f>
        <v>0</v>
      </c>
      <c r="J479" s="28">
        <f>(Fuentes!J1890/Fuentes!J$47)*100000</f>
        <v>0</v>
      </c>
      <c r="K479" s="28">
        <f>(Fuentes!K1890/Fuentes!K$47)*100000</f>
        <v>0</v>
      </c>
      <c r="L479" s="28">
        <f>(Fuentes!L1890/Fuentes!L$47)*100000</f>
        <v>0</v>
      </c>
      <c r="M479" s="28">
        <f>(Fuentes!M1890/Fuentes!M$47)*100000</f>
        <v>0</v>
      </c>
      <c r="N479" s="28">
        <f>(Fuentes!N1890/Fuentes!N$47)*100000</f>
        <v>0</v>
      </c>
      <c r="O479" s="28">
        <f>(Fuentes!O1890/Fuentes!O$47)*100000</f>
        <v>0</v>
      </c>
      <c r="P479" s="28">
        <f>(Fuentes!P1890/Fuentes!P$47)*100000</f>
        <v>0</v>
      </c>
      <c r="Q479" s="28">
        <f>(Fuentes!Q1890/Fuentes!Q$47)*100000</f>
        <v>2.095066140190513E-2</v>
      </c>
      <c r="R479" s="28">
        <f>(Fuentes!R1890/Fuentes!R$47)*100000</f>
        <v>4.138878409478694E-2</v>
      </c>
      <c r="S479" s="28">
        <f>(Fuentes!S1890/Fuentes!S$47)*100000</f>
        <v>0.14313839519774774</v>
      </c>
      <c r="T479" s="28">
        <f>(Fuentes!T1890/Fuentes!T$47)*100000</f>
        <v>0</v>
      </c>
      <c r="U479" s="28">
        <f>(Fuentes!U1890/Fuentes!U$47)*100000</f>
        <v>0</v>
      </c>
      <c r="V479" s="28">
        <f>(Fuentes!V1890/Fuentes!V$47)*100000</f>
        <v>0.23724797098615477</v>
      </c>
    </row>
    <row r="480" spans="1:22" s="14" customFormat="1" ht="12.75" x14ac:dyDescent="0.2">
      <c r="A480" s="28" t="s">
        <v>3198</v>
      </c>
      <c r="B480" s="29" t="s">
        <v>3466</v>
      </c>
      <c r="C480" s="29">
        <f>(Fuentes!C1891/Fuentes!C$47)*100000</f>
        <v>0.69725120333936841</v>
      </c>
      <c r="D480" s="30">
        <f>(Fuentes!D1891/Fuentes!D$47)*100000</f>
        <v>0.98649438596162842</v>
      </c>
      <c r="E480" s="35">
        <f>(Fuentes!E1891/Fuentes!E$47)*100000</f>
        <v>0.69609646504812639</v>
      </c>
      <c r="F480" s="28">
        <f>(Fuentes!F1891/Fuentes!F$47)*100000</f>
        <v>0.58731329860843451</v>
      </c>
      <c r="G480" s="28">
        <f>(Fuentes!G1891/Fuentes!G$47)*100000</f>
        <v>0.50580190918543488</v>
      </c>
      <c r="H480" s="28">
        <f>(Fuentes!H1891/Fuentes!H$47)*100000</f>
        <v>0.45074453507836315</v>
      </c>
      <c r="I480" s="28">
        <f>(Fuentes!I1891/Fuentes!I$47)*100000</f>
        <v>0.35057737756903101</v>
      </c>
      <c r="J480" s="28">
        <f>(Fuentes!J1891/Fuentes!J$47)*100000</f>
        <v>0.46078808586325193</v>
      </c>
      <c r="K480" s="28">
        <f>(Fuentes!K1891/Fuentes!K$47)*100000</f>
        <v>0.90824665254343118</v>
      </c>
      <c r="L480" s="28">
        <f>(Fuentes!L1891/Fuentes!L$47)*100000</f>
        <v>0.49224303291517291</v>
      </c>
      <c r="M480" s="28">
        <f>(Fuentes!M1891/Fuentes!M$47)*100000</f>
        <v>0.61757067986150538</v>
      </c>
      <c r="N480" s="36">
        <f>(Fuentes!N1891/Fuentes!N$47)*100000</f>
        <v>1.0234863997167338</v>
      </c>
      <c r="O480" s="28">
        <f>(Fuentes!O1891/Fuentes!O$47)*100000</f>
        <v>0.88125592295329913</v>
      </c>
      <c r="P480" s="28">
        <f>(Fuentes!P1891/Fuentes!P$47)*100000</f>
        <v>0.74260093644099801</v>
      </c>
      <c r="Q480" s="28">
        <f>(Fuentes!Q1891/Fuentes!Q$47)*100000</f>
        <v>0.43996388944000764</v>
      </c>
      <c r="R480" s="28">
        <f>(Fuentes!R1891/Fuentes!R$47)*100000</f>
        <v>0.45527662504265631</v>
      </c>
      <c r="S480" s="28">
        <f>(Fuentes!S1891/Fuentes!S$47)*100000</f>
        <v>0.42941518559324321</v>
      </c>
      <c r="T480" s="28">
        <f>(Fuentes!T1891/Fuentes!T$47)*100000</f>
        <v>0.68721840467906803</v>
      </c>
      <c r="U480" s="28">
        <f>(Fuentes!U1891/Fuentes!U$47)*100000</f>
        <v>0.67953886492626103</v>
      </c>
      <c r="V480" s="28">
        <f>(Fuentes!V1891/Fuentes!V$47)*100000</f>
        <v>1.1071571979353891</v>
      </c>
    </row>
    <row r="481" spans="1:22" s="14" customFormat="1" ht="12.75" x14ac:dyDescent="0.2">
      <c r="A481" s="28" t="s">
        <v>3198</v>
      </c>
      <c r="B481" s="29" t="s">
        <v>3467</v>
      </c>
      <c r="C481" s="29">
        <f>(Fuentes!C1892/Fuentes!C$47)*100000</f>
        <v>0.77472355926596492</v>
      </c>
      <c r="D481" s="30">
        <f>(Fuentes!D1892/Fuentes!D$47)*100000</f>
        <v>1.0370838416519683</v>
      </c>
      <c r="E481" s="35">
        <f>(Fuentes!E1892/Fuentes!E$47)*100000</f>
        <v>1.193308225796788</v>
      </c>
      <c r="F481" s="28">
        <f>(Fuentes!F1892/Fuentes!F$47)*100000</f>
        <v>1.0033268851227424</v>
      </c>
      <c r="G481" s="28">
        <f>(Fuentes!G1892/Fuentes!G$47)*100000</f>
        <v>1.3969767015597727</v>
      </c>
      <c r="H481" s="36">
        <f>(Fuentes!H1892/Fuentes!H$47)*100000</f>
        <v>1.1624464325705155</v>
      </c>
      <c r="I481" s="28">
        <f>(Fuentes!I1892/Fuentes!I$47)*100000</f>
        <v>1.4490531606186616</v>
      </c>
      <c r="J481" s="28">
        <f>(Fuentes!J1892/Fuentes!J$47)*100000</f>
        <v>1.1289308103649673</v>
      </c>
      <c r="K481" s="28">
        <f>(Fuentes!K1892/Fuentes!K$47)*100000</f>
        <v>0.99907131779777425</v>
      </c>
      <c r="L481" s="28">
        <f>(Fuentes!L1892/Fuentes!L$47)*100000</f>
        <v>1.3424809988595625</v>
      </c>
      <c r="M481" s="28">
        <f>(Fuentes!M1892/Fuentes!M$47)*100000</f>
        <v>0.99252430692027649</v>
      </c>
      <c r="N481" s="28">
        <f>(Fuentes!N1892/Fuentes!N$47)*100000</f>
        <v>1.7638808165330944</v>
      </c>
      <c r="O481" s="28">
        <f>(Fuentes!O1892/Fuentes!O$47)*100000</f>
        <v>2.2568749246364983</v>
      </c>
      <c r="P481" s="28">
        <f>(Fuentes!P1892/Fuentes!P$47)*100000</f>
        <v>1.7398079082331952</v>
      </c>
      <c r="Q481" s="28">
        <f>(Fuentes!Q1892/Fuentes!Q$47)*100000</f>
        <v>0.81707579467430003</v>
      </c>
      <c r="R481" s="28">
        <f>(Fuentes!R1892/Fuentes!R$47)*100000</f>
        <v>1.1795803467014276</v>
      </c>
      <c r="S481" s="28">
        <f>(Fuentes!S1892/Fuentes!S$47)*100000</f>
        <v>1.2269005302664093</v>
      </c>
      <c r="T481" s="28">
        <f>(Fuentes!T1892/Fuentes!T$47)*100000</f>
        <v>1.3744368093581361</v>
      </c>
      <c r="U481" s="28">
        <f>(Fuentes!U1892/Fuentes!U$47)*100000</f>
        <v>2.5982368364827626</v>
      </c>
      <c r="V481" s="28">
        <f>(Fuentes!V1892/Fuentes!V$47)*100000</f>
        <v>2.7876636590873187</v>
      </c>
    </row>
    <row r="482" spans="1:22" s="14" customFormat="1" ht="12.75" x14ac:dyDescent="0.2">
      <c r="A482" s="28" t="s">
        <v>3198</v>
      </c>
      <c r="B482" s="29" t="s">
        <v>3468</v>
      </c>
      <c r="C482" s="29">
        <f>(Fuentes!C1893/Fuentes!C$47)*100000</f>
        <v>0</v>
      </c>
      <c r="D482" s="30">
        <f>(Fuentes!D1893/Fuentes!D$47)*100000</f>
        <v>0</v>
      </c>
      <c r="E482" s="35">
        <f>(Fuentes!E1893/Fuentes!E$47)*100000</f>
        <v>0</v>
      </c>
      <c r="F482" s="28">
        <f>(Fuentes!F1893/Fuentes!F$47)*100000</f>
        <v>0</v>
      </c>
      <c r="G482" s="28">
        <f>(Fuentes!G1893/Fuentes!G$47)*100000</f>
        <v>0</v>
      </c>
      <c r="H482" s="28">
        <f>(Fuentes!H1893/Fuentes!H$47)*100000</f>
        <v>0</v>
      </c>
      <c r="I482" s="28">
        <f>(Fuentes!I1893/Fuentes!I$47)*100000</f>
        <v>0</v>
      </c>
      <c r="J482" s="28">
        <f>(Fuentes!J1893/Fuentes!J$47)*100000</f>
        <v>0</v>
      </c>
      <c r="K482" s="28">
        <f>(Fuentes!K1893/Fuentes!K$47)*100000</f>
        <v>2.2706166313585782E-2</v>
      </c>
      <c r="L482" s="28">
        <f>(Fuentes!L1893/Fuentes!L$47)*100000</f>
        <v>0</v>
      </c>
      <c r="M482" s="28">
        <f>(Fuentes!M1893/Fuentes!M$47)*100000</f>
        <v>0</v>
      </c>
      <c r="N482" s="36">
        <f>(Fuentes!N1893/Fuentes!N$47)*100000</f>
        <v>0</v>
      </c>
      <c r="O482" s="28">
        <f>(Fuentes!O1893/Fuentes!O$47)*100000</f>
        <v>0</v>
      </c>
      <c r="P482" s="28">
        <f>(Fuentes!P1893/Fuentes!P$47)*100000</f>
        <v>2.1217169612599944E-2</v>
      </c>
      <c r="Q482" s="28">
        <f>(Fuentes!Q1893/Fuentes!Q$47)*100000</f>
        <v>0</v>
      </c>
      <c r="R482" s="28">
        <f>(Fuentes!R1893/Fuentes!R$47)*100000</f>
        <v>0</v>
      </c>
      <c r="S482" s="28">
        <f>(Fuentes!S1893/Fuentes!S$47)*100000</f>
        <v>0</v>
      </c>
      <c r="T482" s="28">
        <f>(Fuentes!T1893/Fuentes!T$47)*100000</f>
        <v>0</v>
      </c>
      <c r="U482" s="28">
        <f>(Fuentes!U1893/Fuentes!U$47)*100000</f>
        <v>0</v>
      </c>
      <c r="V482" s="28">
        <f>(Fuentes!V1893/Fuentes!V$47)*100000</f>
        <v>0</v>
      </c>
    </row>
    <row r="483" spans="1:22" s="14" customFormat="1" ht="12.75" x14ac:dyDescent="0.2">
      <c r="A483" s="28" t="s">
        <v>3198</v>
      </c>
      <c r="B483" s="29" t="s">
        <v>3469</v>
      </c>
      <c r="C483" s="29">
        <f>(Fuentes!C1894/Fuentes!C$47)*100000</f>
        <v>0</v>
      </c>
      <c r="D483" s="30">
        <f>(Fuentes!D1894/Fuentes!D$47)*100000</f>
        <v>0</v>
      </c>
      <c r="E483" s="35">
        <f>(Fuentes!E1894/Fuentes!E$47)*100000</f>
        <v>0</v>
      </c>
      <c r="F483" s="28">
        <f>(Fuentes!F1894/Fuentes!F$47)*100000</f>
        <v>0</v>
      </c>
      <c r="G483" s="28">
        <f>(Fuentes!G1894/Fuentes!G$47)*100000</f>
        <v>0</v>
      </c>
      <c r="H483" s="36">
        <f>(Fuentes!H1894/Fuentes!H$47)*100000</f>
        <v>0</v>
      </c>
      <c r="I483" s="28">
        <f>(Fuentes!I1894/Fuentes!I$47)*100000</f>
        <v>0</v>
      </c>
      <c r="J483" s="28">
        <f>(Fuentes!J1894/Fuentes!J$47)*100000</f>
        <v>0</v>
      </c>
      <c r="K483" s="28">
        <f>(Fuentes!K1894/Fuentes!K$47)*100000</f>
        <v>2.2706166313585782E-2</v>
      </c>
      <c r="L483" s="28">
        <f>(Fuentes!L1894/Fuentes!L$47)*100000</f>
        <v>0</v>
      </c>
      <c r="M483" s="28">
        <f>(Fuentes!M1894/Fuentes!M$47)*100000</f>
        <v>0</v>
      </c>
      <c r="N483" s="28">
        <f>(Fuentes!N1894/Fuentes!N$47)*100000</f>
        <v>0</v>
      </c>
      <c r="O483" s="28">
        <f>(Fuentes!O1894/Fuentes!O$47)*100000</f>
        <v>0</v>
      </c>
      <c r="P483" s="28">
        <f>(Fuentes!P1894/Fuentes!P$47)*100000</f>
        <v>0</v>
      </c>
      <c r="Q483" s="28">
        <f>(Fuentes!Q1894/Fuentes!Q$47)*100000</f>
        <v>0</v>
      </c>
      <c r="R483" s="28">
        <f>(Fuentes!R1894/Fuentes!R$47)*100000</f>
        <v>4.138878409478694E-2</v>
      </c>
      <c r="S483" s="28">
        <f>(Fuentes!S1894/Fuentes!S$47)*100000</f>
        <v>4.0896684342213642E-2</v>
      </c>
      <c r="T483" s="28">
        <f>(Fuentes!T1894/Fuentes!T$47)*100000</f>
        <v>2.0212306019972589E-2</v>
      </c>
      <c r="U483" s="28">
        <f>(Fuentes!U1894/Fuentes!U$47)*100000</f>
        <v>1.9986437203713559E-2</v>
      </c>
      <c r="V483" s="28">
        <f>(Fuentes!V1894/Fuentes!V$47)*100000</f>
        <v>0</v>
      </c>
    </row>
    <row r="484" spans="1:22" s="14" customFormat="1" ht="12.75" x14ac:dyDescent="0.2">
      <c r="A484" s="28" t="s">
        <v>3198</v>
      </c>
      <c r="B484" s="29" t="s">
        <v>3470</v>
      </c>
      <c r="C484" s="29">
        <f>(Fuentes!C1895/Fuentes!C$47)*100000</f>
        <v>0.10329647456879532</v>
      </c>
      <c r="D484" s="30">
        <f>(Fuentes!D1895/Fuentes!D$47)*100000</f>
        <v>0.15176836707101973</v>
      </c>
      <c r="E484" s="35">
        <f>(Fuentes!E1895/Fuentes!E$47)*100000</f>
        <v>9.9442352149732335E-2</v>
      </c>
      <c r="F484" s="28">
        <f>(Fuentes!F1895/Fuentes!F$47)*100000</f>
        <v>9.7885549768072427E-2</v>
      </c>
      <c r="G484" s="28">
        <f>(Fuentes!G1895/Fuentes!G$47)*100000</f>
        <v>0.19268644159445142</v>
      </c>
      <c r="H484" s="28">
        <f>(Fuentes!H1895/Fuentes!H$47)*100000</f>
        <v>0.54563812141065005</v>
      </c>
      <c r="I484" s="28">
        <f>(Fuentes!I1895/Fuentes!I$47)*100000</f>
        <v>0.49080832859664342</v>
      </c>
      <c r="J484" s="28">
        <f>(Fuentes!J1895/Fuentes!J$47)*100000</f>
        <v>0.59902451162222747</v>
      </c>
      <c r="K484" s="28">
        <f>(Fuentes!K1895/Fuentes!K$47)*100000</f>
        <v>0.72659732203474503</v>
      </c>
      <c r="L484" s="28">
        <f>(Fuentes!L1895/Fuentes!L$47)*100000</f>
        <v>0.51461771622949892</v>
      </c>
      <c r="M484" s="28">
        <f>(Fuentes!M1895/Fuentes!M$47)*100000</f>
        <v>0.83813163695490023</v>
      </c>
      <c r="N484" s="36">
        <f>(Fuentes!N1895/Fuentes!N$47)*100000</f>
        <v>1.415459914501866</v>
      </c>
      <c r="O484" s="28">
        <f>(Fuentes!O1895/Fuentes!O$47)*100000</f>
        <v>1.2681487671766989</v>
      </c>
      <c r="P484" s="28">
        <f>(Fuentes!P1895/Fuentes!P$47)*100000</f>
        <v>1.166944328692997</v>
      </c>
      <c r="Q484" s="28">
        <f>(Fuentes!Q1895/Fuentes!Q$47)*100000</f>
        <v>1.298941006918118</v>
      </c>
      <c r="R484" s="28">
        <f>(Fuentes!R1895/Fuentes!R$47)*100000</f>
        <v>1.8004121081232316</v>
      </c>
      <c r="S484" s="28">
        <f>(Fuentes!S1895/Fuentes!S$47)*100000</f>
        <v>1.7585574267151867</v>
      </c>
      <c r="T484" s="28">
        <f>(Fuentes!T1895/Fuentes!T$47)*100000</f>
        <v>2.4254767223967106</v>
      </c>
      <c r="U484" s="28">
        <f>(Fuentes!U1895/Fuentes!U$47)*100000</f>
        <v>1.9986437203713558</v>
      </c>
      <c r="V484" s="28">
        <f>(Fuentes!V1895/Fuentes!V$47)*100000</f>
        <v>3.6971142145342455</v>
      </c>
    </row>
    <row r="485" spans="1:22" s="14" customFormat="1" ht="12.75" x14ac:dyDescent="0.2">
      <c r="A485" s="28" t="s">
        <v>3198</v>
      </c>
      <c r="B485" s="29" t="s">
        <v>3471</v>
      </c>
      <c r="C485" s="29">
        <f>(Fuentes!C1896/Fuentes!C$47)*100000</f>
        <v>0</v>
      </c>
      <c r="D485" s="30">
        <f>(Fuentes!D1896/Fuentes!D$47)*100000</f>
        <v>0</v>
      </c>
      <c r="E485" s="35">
        <f>(Fuentes!E1896/Fuentes!E$47)*100000</f>
        <v>0</v>
      </c>
      <c r="F485" s="28">
        <f>(Fuentes!F1896/Fuentes!F$47)*100000</f>
        <v>0</v>
      </c>
      <c r="G485" s="28">
        <f>(Fuentes!G1896/Fuentes!G$47)*100000</f>
        <v>0</v>
      </c>
      <c r="H485" s="36">
        <f>(Fuentes!H1896/Fuentes!H$47)*100000</f>
        <v>0</v>
      </c>
      <c r="I485" s="28">
        <f>(Fuentes!I1896/Fuentes!I$47)*100000</f>
        <v>0</v>
      </c>
      <c r="J485" s="28">
        <f>(Fuentes!J1896/Fuentes!J$47)*100000</f>
        <v>0</v>
      </c>
      <c r="K485" s="28">
        <f>(Fuentes!K1896/Fuentes!K$47)*100000</f>
        <v>0</v>
      </c>
      <c r="L485" s="28">
        <f>(Fuentes!L1896/Fuentes!L$47)*100000</f>
        <v>0</v>
      </c>
      <c r="M485" s="28">
        <f>(Fuentes!M1896/Fuentes!M$47)*100000</f>
        <v>0</v>
      </c>
      <c r="N485" s="28">
        <f>(Fuentes!N1896/Fuentes!N$47)*100000</f>
        <v>2.1776306376951781E-2</v>
      </c>
      <c r="O485" s="28">
        <f>(Fuentes!O1896/Fuentes!O$47)*100000</f>
        <v>0</v>
      </c>
      <c r="P485" s="28">
        <f>(Fuentes!P1896/Fuentes!P$47)*100000</f>
        <v>0</v>
      </c>
      <c r="Q485" s="28">
        <f>(Fuentes!Q1896/Fuentes!Q$47)*100000</f>
        <v>4.1901322803810259E-2</v>
      </c>
      <c r="R485" s="28">
        <f>(Fuentes!R1896/Fuentes!R$47)*100000</f>
        <v>0</v>
      </c>
      <c r="S485" s="28">
        <f>(Fuentes!S1896/Fuentes!S$47)*100000</f>
        <v>4.0896684342213642E-2</v>
      </c>
      <c r="T485" s="28">
        <f>(Fuentes!T1896/Fuentes!T$47)*100000</f>
        <v>6.0636918059917756E-2</v>
      </c>
      <c r="U485" s="28">
        <f>(Fuentes!U1896/Fuentes!U$47)*100000</f>
        <v>1.9986437203713559E-2</v>
      </c>
      <c r="V485" s="28">
        <f>(Fuentes!V1896/Fuentes!V$47)*100000</f>
        <v>3.9541328497692464E-2</v>
      </c>
    </row>
    <row r="486" spans="1:22" s="14" customFormat="1" ht="12.75" x14ac:dyDescent="0.2">
      <c r="A486" s="28" t="s">
        <v>3198</v>
      </c>
      <c r="B486" s="29" t="s">
        <v>3472</v>
      </c>
      <c r="C486" s="29">
        <f>(Fuentes!C1897/Fuentes!C$47)*100000</f>
        <v>0</v>
      </c>
      <c r="D486" s="30">
        <f>(Fuentes!D1897/Fuentes!D$47)*100000</f>
        <v>0</v>
      </c>
      <c r="E486" s="35">
        <f>(Fuentes!E1897/Fuentes!E$47)*100000</f>
        <v>0</v>
      </c>
      <c r="F486" s="28">
        <f>(Fuentes!F1897/Fuentes!F$47)*100000</f>
        <v>0</v>
      </c>
      <c r="G486" s="28">
        <f>(Fuentes!G1897/Fuentes!G$47)*100000</f>
        <v>0</v>
      </c>
      <c r="H486" s="28">
        <f>(Fuentes!H1897/Fuentes!H$47)*100000</f>
        <v>0</v>
      </c>
      <c r="I486" s="28">
        <f>(Fuentes!I1897/Fuentes!I$47)*100000</f>
        <v>0</v>
      </c>
      <c r="J486" s="28">
        <f>(Fuentes!J1897/Fuentes!J$47)*100000</f>
        <v>0</v>
      </c>
      <c r="K486" s="28">
        <f>(Fuentes!K1897/Fuentes!K$47)*100000</f>
        <v>0</v>
      </c>
      <c r="L486" s="28">
        <f>(Fuentes!L1897/Fuentes!L$47)*100000</f>
        <v>0</v>
      </c>
      <c r="M486" s="28">
        <f>(Fuentes!M1897/Fuentes!M$47)*100000</f>
        <v>0</v>
      </c>
      <c r="N486" s="36">
        <f>(Fuentes!N1897/Fuentes!N$47)*100000</f>
        <v>0</v>
      </c>
      <c r="O486" s="28">
        <f>(Fuentes!O1897/Fuentes!O$47)*100000</f>
        <v>0</v>
      </c>
      <c r="P486" s="28">
        <f>(Fuentes!P1897/Fuentes!P$47)*100000</f>
        <v>0</v>
      </c>
      <c r="Q486" s="28">
        <f>(Fuentes!Q1897/Fuentes!Q$47)*100000</f>
        <v>0</v>
      </c>
      <c r="R486" s="28">
        <f>(Fuentes!R1897/Fuentes!R$47)*100000</f>
        <v>0</v>
      </c>
      <c r="S486" s="28">
        <f>(Fuentes!S1897/Fuentes!S$47)*100000</f>
        <v>0</v>
      </c>
      <c r="T486" s="28">
        <f>(Fuentes!T1897/Fuentes!T$47)*100000</f>
        <v>0.62658148661915025</v>
      </c>
      <c r="U486" s="28">
        <f>(Fuentes!U1897/Fuentes!U$47)*100000</f>
        <v>0</v>
      </c>
      <c r="V486" s="28">
        <f>(Fuentes!V1897/Fuentes!V$47)*100000</f>
        <v>0</v>
      </c>
    </row>
    <row r="487" spans="1:22" s="14" customFormat="1" ht="12.75" x14ac:dyDescent="0.2">
      <c r="A487" s="28" t="s">
        <v>3198</v>
      </c>
      <c r="B487" s="29" t="s">
        <v>3473</v>
      </c>
      <c r="C487" s="29">
        <f>(Fuentes!C1898/Fuentes!C$47)*100000</f>
        <v>0</v>
      </c>
      <c r="D487" s="30">
        <f>(Fuentes!D1898/Fuentes!D$47)*100000</f>
        <v>0</v>
      </c>
      <c r="E487" s="35">
        <f>(Fuentes!E1898/Fuentes!E$47)*100000</f>
        <v>0</v>
      </c>
      <c r="F487" s="28">
        <f>(Fuentes!F1898/Fuentes!F$47)*100000</f>
        <v>0</v>
      </c>
      <c r="G487" s="28">
        <f>(Fuentes!G1898/Fuentes!G$47)*100000</f>
        <v>0</v>
      </c>
      <c r="H487" s="36">
        <f>(Fuentes!H1898/Fuentes!H$47)*100000</f>
        <v>0</v>
      </c>
      <c r="I487" s="28">
        <f>(Fuentes!I1898/Fuentes!I$47)*100000</f>
        <v>0</v>
      </c>
      <c r="J487" s="28">
        <f>(Fuentes!J1898/Fuentes!J$47)*100000</f>
        <v>0</v>
      </c>
      <c r="K487" s="28">
        <f>(Fuentes!K1898/Fuentes!K$47)*100000</f>
        <v>0</v>
      </c>
      <c r="L487" s="28">
        <f>(Fuentes!L1898/Fuentes!L$47)*100000</f>
        <v>0</v>
      </c>
      <c r="M487" s="28">
        <f>(Fuentes!M1898/Fuentes!M$47)*100000</f>
        <v>0</v>
      </c>
      <c r="N487" s="28">
        <f>(Fuentes!N1898/Fuentes!N$47)*100000</f>
        <v>8.7105225507807124E-2</v>
      </c>
      <c r="O487" s="28">
        <f>(Fuentes!O1898/Fuentes!O$47)*100000</f>
        <v>4.2988093802599964E-2</v>
      </c>
      <c r="P487" s="28">
        <f>(Fuentes!P1898/Fuentes!P$47)*100000</f>
        <v>0</v>
      </c>
      <c r="Q487" s="28">
        <f>(Fuentes!Q1898/Fuentes!Q$47)*100000</f>
        <v>2.095066140190513E-2</v>
      </c>
      <c r="R487" s="28">
        <f>(Fuentes!R1898/Fuentes!R$47)*100000</f>
        <v>4.138878409478694E-2</v>
      </c>
      <c r="S487" s="28">
        <f>(Fuentes!S1898/Fuentes!S$47)*100000</f>
        <v>0</v>
      </c>
      <c r="T487" s="28">
        <f>(Fuentes!T1898/Fuentes!T$47)*100000</f>
        <v>0</v>
      </c>
      <c r="U487" s="28">
        <f>(Fuentes!U1898/Fuentes!U$47)*100000</f>
        <v>0</v>
      </c>
      <c r="V487" s="28">
        <f>(Fuentes!V1898/Fuentes!V$47)*100000</f>
        <v>0</v>
      </c>
    </row>
    <row r="488" spans="1:22" s="14" customFormat="1" ht="12.75" x14ac:dyDescent="0.2">
      <c r="A488" s="28" t="s">
        <v>3198</v>
      </c>
      <c r="B488" s="29" t="s">
        <v>3474</v>
      </c>
      <c r="C488" s="29">
        <f>(Fuentes!C1899/Fuentes!C$47)*100000</f>
        <v>0</v>
      </c>
      <c r="D488" s="30">
        <f>(Fuentes!D1899/Fuentes!D$47)*100000</f>
        <v>0</v>
      </c>
      <c r="E488" s="35">
        <f>(Fuentes!E1899/Fuentes!E$47)*100000</f>
        <v>0</v>
      </c>
      <c r="F488" s="28">
        <f>(Fuentes!F1899/Fuentes!F$47)*100000</f>
        <v>0</v>
      </c>
      <c r="G488" s="28">
        <f>(Fuentes!G1899/Fuentes!G$47)*100000</f>
        <v>0</v>
      </c>
      <c r="H488" s="28">
        <f>(Fuentes!H1899/Fuentes!H$47)*100000</f>
        <v>0</v>
      </c>
      <c r="I488" s="28">
        <f>(Fuentes!I1899/Fuentes!I$47)*100000</f>
        <v>0</v>
      </c>
      <c r="J488" s="28">
        <f>(Fuentes!J1899/Fuentes!J$47)*100000</f>
        <v>0</v>
      </c>
      <c r="K488" s="28">
        <f>(Fuentes!K1899/Fuentes!K$47)*100000</f>
        <v>0</v>
      </c>
      <c r="L488" s="28">
        <f>(Fuentes!L1899/Fuentes!L$47)*100000</f>
        <v>0</v>
      </c>
      <c r="M488" s="28">
        <f>(Fuentes!M1899/Fuentes!M$47)*100000</f>
        <v>0</v>
      </c>
      <c r="N488" s="36">
        <f>(Fuentes!N1899/Fuentes!N$47)*100000</f>
        <v>2.1776306376951781E-2</v>
      </c>
      <c r="O488" s="28">
        <f>(Fuentes!O1899/Fuentes!O$47)*100000</f>
        <v>2.1494046901299982E-2</v>
      </c>
      <c r="P488" s="28">
        <f>(Fuentes!P1899/Fuentes!P$47)*100000</f>
        <v>4.2434339225199888E-2</v>
      </c>
      <c r="Q488" s="28">
        <f>(Fuentes!Q1899/Fuentes!Q$47)*100000</f>
        <v>4.1901322803810259E-2</v>
      </c>
      <c r="R488" s="28">
        <f>(Fuentes!R1899/Fuentes!R$47)*100000</f>
        <v>0</v>
      </c>
      <c r="S488" s="28">
        <f>(Fuentes!S1899/Fuentes!S$47)*100000</f>
        <v>2.0448342171106821E-2</v>
      </c>
      <c r="T488" s="28">
        <f>(Fuentes!T1899/Fuentes!T$47)*100000</f>
        <v>4.0424612039945178E-2</v>
      </c>
      <c r="U488" s="28">
        <f>(Fuentes!U1899/Fuentes!U$47)*100000</f>
        <v>0.19986437203713561</v>
      </c>
      <c r="V488" s="28">
        <f>(Fuentes!V1899/Fuentes!V$47)*100000</f>
        <v>9.8853321244231157E-2</v>
      </c>
    </row>
    <row r="489" spans="1:22" s="14" customFormat="1" ht="12.75" x14ac:dyDescent="0.2">
      <c r="A489" s="28" t="s">
        <v>3198</v>
      </c>
      <c r="B489" s="29" t="s">
        <v>3475</v>
      </c>
      <c r="C489" s="29">
        <f>(Fuentes!C1900/Fuentes!C$47)*100000</f>
        <v>0</v>
      </c>
      <c r="D489" s="30">
        <f>(Fuentes!D1900/Fuentes!D$47)*100000</f>
        <v>0</v>
      </c>
      <c r="E489" s="35">
        <f>(Fuentes!E1900/Fuentes!E$47)*100000</f>
        <v>0</v>
      </c>
      <c r="F489" s="28">
        <f>(Fuentes!F1900/Fuentes!F$47)*100000</f>
        <v>0</v>
      </c>
      <c r="G489" s="28">
        <f>(Fuentes!G1900/Fuentes!G$47)*100000</f>
        <v>0</v>
      </c>
      <c r="H489" s="36">
        <f>(Fuentes!H1900/Fuentes!H$47)*100000</f>
        <v>0</v>
      </c>
      <c r="I489" s="28">
        <f>(Fuentes!I1900/Fuentes!I$47)*100000</f>
        <v>0</v>
      </c>
      <c r="J489" s="28">
        <f>(Fuentes!J1900/Fuentes!J$47)*100000</f>
        <v>0</v>
      </c>
      <c r="K489" s="28">
        <f>(Fuentes!K1900/Fuentes!K$47)*100000</f>
        <v>0</v>
      </c>
      <c r="L489" s="28">
        <f>(Fuentes!L1900/Fuentes!L$47)*100000</f>
        <v>0</v>
      </c>
      <c r="M489" s="28">
        <f>(Fuentes!M1900/Fuentes!M$47)*100000</f>
        <v>0</v>
      </c>
      <c r="N489" s="28">
        <f>(Fuentes!N1900/Fuentes!N$47)*100000</f>
        <v>0</v>
      </c>
      <c r="O489" s="28">
        <f>(Fuentes!O1900/Fuentes!O$47)*100000</f>
        <v>8.5976187605199927E-2</v>
      </c>
      <c r="P489" s="28">
        <f>(Fuentes!P1900/Fuentes!P$47)*100000</f>
        <v>4.2434339225199888E-2</v>
      </c>
      <c r="Q489" s="28">
        <f>(Fuentes!Q1900/Fuentes!Q$47)*100000</f>
        <v>4.1901322803810259E-2</v>
      </c>
      <c r="R489" s="28">
        <f>(Fuentes!R1900/Fuentes!R$47)*100000</f>
        <v>2.069439204739347E-2</v>
      </c>
      <c r="S489" s="28">
        <f>(Fuentes!S1900/Fuentes!S$47)*100000</f>
        <v>8.1793368684427284E-2</v>
      </c>
      <c r="T489" s="28">
        <f>(Fuentes!T1900/Fuentes!T$47)*100000</f>
        <v>8.0849224079890356E-2</v>
      </c>
      <c r="U489" s="28">
        <f>(Fuentes!U1900/Fuentes!U$47)*100000</f>
        <v>0.17987793483342204</v>
      </c>
      <c r="V489" s="28">
        <f>(Fuentes!V1900/Fuentes!V$47)*100000</f>
        <v>0.23724797098615477</v>
      </c>
    </row>
    <row r="490" spans="1:22" s="14" customFormat="1" ht="12.75" x14ac:dyDescent="0.2">
      <c r="A490" s="28" t="s">
        <v>3198</v>
      </c>
      <c r="B490" s="29" t="s">
        <v>3476</v>
      </c>
      <c r="C490" s="29">
        <f>(Fuentes!C1901/Fuentes!C$47)*100000</f>
        <v>0</v>
      </c>
      <c r="D490" s="30">
        <f>(Fuentes!D1901/Fuentes!D$47)*100000</f>
        <v>0</v>
      </c>
      <c r="E490" s="35">
        <f>(Fuentes!E1901/Fuentes!E$47)*100000</f>
        <v>0</v>
      </c>
      <c r="F490" s="28">
        <f>(Fuentes!F1901/Fuentes!F$47)*100000</f>
        <v>0</v>
      </c>
      <c r="G490" s="28">
        <f>(Fuentes!G1901/Fuentes!G$47)*100000</f>
        <v>0</v>
      </c>
      <c r="H490" s="28">
        <f>(Fuentes!H1901/Fuentes!H$47)*100000</f>
        <v>0</v>
      </c>
      <c r="I490" s="28">
        <f>(Fuentes!I1901/Fuentes!I$47)*100000</f>
        <v>0</v>
      </c>
      <c r="J490" s="28">
        <f>(Fuentes!J1901/Fuentes!J$47)*100000</f>
        <v>0</v>
      </c>
      <c r="K490" s="28">
        <f>(Fuentes!K1901/Fuentes!K$47)*100000</f>
        <v>0</v>
      </c>
      <c r="L490" s="28">
        <f>(Fuentes!L1901/Fuentes!L$47)*100000</f>
        <v>0</v>
      </c>
      <c r="M490" s="28">
        <f>(Fuentes!M1901/Fuentes!M$47)*100000</f>
        <v>0</v>
      </c>
      <c r="N490" s="36">
        <f>(Fuentes!N1901/Fuentes!N$47)*100000</f>
        <v>0</v>
      </c>
      <c r="O490" s="28">
        <f>(Fuentes!O1901/Fuentes!O$47)*100000</f>
        <v>0</v>
      </c>
      <c r="P490" s="28">
        <f>(Fuentes!P1901/Fuentes!P$47)*100000</f>
        <v>0</v>
      </c>
      <c r="Q490" s="28">
        <f>(Fuentes!Q1901/Fuentes!Q$47)*100000</f>
        <v>0</v>
      </c>
      <c r="R490" s="28">
        <f>(Fuentes!R1901/Fuentes!R$47)*100000</f>
        <v>0</v>
      </c>
      <c r="S490" s="28">
        <f>(Fuentes!S1901/Fuentes!S$47)*100000</f>
        <v>0</v>
      </c>
      <c r="T490" s="28">
        <f>(Fuentes!T1901/Fuentes!T$47)*100000</f>
        <v>4.0424612039945178E-2</v>
      </c>
      <c r="U490" s="28">
        <f>(Fuentes!U1901/Fuentes!U$47)*100000</f>
        <v>3.9972874407427118E-2</v>
      </c>
      <c r="V490" s="28">
        <f>(Fuentes!V1901/Fuentes!V$47)*100000</f>
        <v>0.23724797098615477</v>
      </c>
    </row>
    <row r="491" spans="1:22" s="14" customFormat="1" ht="12.75" x14ac:dyDescent="0.2">
      <c r="A491" s="28" t="s">
        <v>3198</v>
      </c>
      <c r="B491" s="29" t="s">
        <v>3477</v>
      </c>
      <c r="C491" s="29">
        <f>(Fuentes!C1902/Fuentes!C$47)*100000</f>
        <v>0</v>
      </c>
      <c r="D491" s="30">
        <f>(Fuentes!D1902/Fuentes!D$47)*100000</f>
        <v>0</v>
      </c>
      <c r="E491" s="35">
        <f>(Fuentes!E1902/Fuentes!E$47)*100000</f>
        <v>0</v>
      </c>
      <c r="F491" s="28">
        <f>(Fuentes!F1902/Fuentes!F$47)*100000</f>
        <v>0</v>
      </c>
      <c r="G491" s="28">
        <f>(Fuentes!G1902/Fuentes!G$47)*100000</f>
        <v>0</v>
      </c>
      <c r="H491" s="36">
        <f>(Fuentes!H1902/Fuentes!H$47)*100000</f>
        <v>0</v>
      </c>
      <c r="I491" s="28">
        <f>(Fuentes!I1902/Fuentes!I$47)*100000</f>
        <v>0</v>
      </c>
      <c r="J491" s="28">
        <f>(Fuentes!J1902/Fuentes!J$47)*100000</f>
        <v>0</v>
      </c>
      <c r="K491" s="28">
        <f>(Fuentes!K1902/Fuentes!K$47)*100000</f>
        <v>0</v>
      </c>
      <c r="L491" s="28">
        <f>(Fuentes!L1902/Fuentes!L$47)*100000</f>
        <v>0</v>
      </c>
      <c r="M491" s="28">
        <f>(Fuentes!M1902/Fuentes!M$47)*100000</f>
        <v>0</v>
      </c>
      <c r="N491" s="28">
        <f>(Fuentes!N1902/Fuentes!N$47)*100000</f>
        <v>2.1776306376951781E-2</v>
      </c>
      <c r="O491" s="28">
        <f>(Fuentes!O1902/Fuentes!O$47)*100000</f>
        <v>6.4482140703899946E-2</v>
      </c>
      <c r="P491" s="28">
        <f>(Fuentes!P1902/Fuentes!P$47)*100000</f>
        <v>6.3651508837799825E-2</v>
      </c>
      <c r="Q491" s="28">
        <f>(Fuentes!Q1902/Fuentes!Q$47)*100000</f>
        <v>2.095066140190513E-2</v>
      </c>
      <c r="R491" s="28">
        <f>(Fuentes!R1902/Fuentes!R$47)*100000</f>
        <v>0.24833270456872161</v>
      </c>
      <c r="S491" s="28">
        <f>(Fuentes!S1902/Fuentes!S$47)*100000</f>
        <v>0.12269005302664091</v>
      </c>
      <c r="T491" s="28">
        <f>(Fuentes!T1902/Fuentes!T$47)*100000</f>
        <v>0.30318459029958883</v>
      </c>
      <c r="U491" s="28">
        <f>(Fuentes!U1902/Fuentes!U$47)*100000</f>
        <v>0.25982368364827629</v>
      </c>
      <c r="V491" s="28">
        <f>(Fuentes!V1902/Fuentes!V$47)*100000</f>
        <v>0.51403727047000214</v>
      </c>
    </row>
    <row r="492" spans="1:22" s="14" customFormat="1" ht="12.75" x14ac:dyDescent="0.2">
      <c r="A492" s="28" t="s">
        <v>3198</v>
      </c>
      <c r="B492" s="29" t="s">
        <v>3478</v>
      </c>
      <c r="C492" s="29">
        <f>(Fuentes!C1903/Fuentes!C$47)*100000</f>
        <v>0</v>
      </c>
      <c r="D492" s="30">
        <f>(Fuentes!D1903/Fuentes!D$47)*100000</f>
        <v>0</v>
      </c>
      <c r="E492" s="35">
        <f>(Fuentes!E1903/Fuentes!E$47)*100000</f>
        <v>0</v>
      </c>
      <c r="F492" s="28">
        <f>(Fuentes!F1903/Fuentes!F$47)*100000</f>
        <v>0</v>
      </c>
      <c r="G492" s="28">
        <f>(Fuentes!G1903/Fuentes!G$47)*100000</f>
        <v>0</v>
      </c>
      <c r="H492" s="28">
        <f>(Fuentes!H1903/Fuentes!H$47)*100000</f>
        <v>0</v>
      </c>
      <c r="I492" s="28">
        <f>(Fuentes!I1903/Fuentes!I$47)*100000</f>
        <v>0</v>
      </c>
      <c r="J492" s="28">
        <f>(Fuentes!J1903/Fuentes!J$47)*100000</f>
        <v>0</v>
      </c>
      <c r="K492" s="28">
        <f>(Fuentes!K1903/Fuentes!K$47)*100000</f>
        <v>0</v>
      </c>
      <c r="L492" s="28">
        <f>(Fuentes!L1903/Fuentes!L$47)*100000</f>
        <v>0</v>
      </c>
      <c r="M492" s="28">
        <f>(Fuentes!M1903/Fuentes!M$47)*100000</f>
        <v>0</v>
      </c>
      <c r="N492" s="36">
        <f>(Fuentes!N1903/Fuentes!N$47)*100000</f>
        <v>0</v>
      </c>
      <c r="O492" s="28">
        <f>(Fuentes!O1903/Fuentes!O$47)*100000</f>
        <v>0</v>
      </c>
      <c r="P492" s="28">
        <f>(Fuentes!P1903/Fuentes!P$47)*100000</f>
        <v>6.3651508837799825E-2</v>
      </c>
      <c r="Q492" s="28">
        <f>(Fuentes!Q1903/Fuentes!Q$47)*100000</f>
        <v>4.1901322803810259E-2</v>
      </c>
      <c r="R492" s="28">
        <f>(Fuentes!R1903/Fuentes!R$47)*100000</f>
        <v>4.138878409478694E-2</v>
      </c>
      <c r="S492" s="28">
        <f>(Fuentes!S1903/Fuentes!S$47)*100000</f>
        <v>4.0896684342213642E-2</v>
      </c>
      <c r="T492" s="28">
        <f>(Fuentes!T1903/Fuentes!T$47)*100000</f>
        <v>0.12127383611983551</v>
      </c>
      <c r="U492" s="28">
        <f>(Fuentes!U1903/Fuentes!U$47)*100000</f>
        <v>7.9945748814854237E-2</v>
      </c>
      <c r="V492" s="28">
        <f>(Fuentes!V1903/Fuentes!V$47)*100000</f>
        <v>5.9311992746538693E-2</v>
      </c>
    </row>
    <row r="493" spans="1:22" s="14" customFormat="1" ht="12.75" x14ac:dyDescent="0.2">
      <c r="A493" s="28" t="s">
        <v>3198</v>
      </c>
      <c r="B493" s="29" t="s">
        <v>3479</v>
      </c>
      <c r="C493" s="29">
        <f>(Fuentes!C1904/Fuentes!C$47)*100000</f>
        <v>0</v>
      </c>
      <c r="D493" s="30">
        <f>(Fuentes!D1904/Fuentes!D$47)*100000</f>
        <v>0</v>
      </c>
      <c r="E493" s="35">
        <f>(Fuentes!E1904/Fuentes!E$47)*100000</f>
        <v>0</v>
      </c>
      <c r="F493" s="28">
        <f>(Fuentes!F1904/Fuentes!F$47)*100000</f>
        <v>0</v>
      </c>
      <c r="G493" s="28">
        <f>(Fuentes!G1904/Fuentes!G$47)*100000</f>
        <v>0</v>
      </c>
      <c r="H493" s="36">
        <f>(Fuentes!H1904/Fuentes!H$47)*100000</f>
        <v>0</v>
      </c>
      <c r="I493" s="28">
        <f>(Fuentes!I1904/Fuentes!I$47)*100000</f>
        <v>0</v>
      </c>
      <c r="J493" s="28">
        <f>(Fuentes!J1904/Fuentes!J$47)*100000</f>
        <v>0</v>
      </c>
      <c r="K493" s="28">
        <f>(Fuentes!K1904/Fuentes!K$47)*100000</f>
        <v>0</v>
      </c>
      <c r="L493" s="28">
        <f>(Fuentes!L1904/Fuentes!L$47)*100000</f>
        <v>0</v>
      </c>
      <c r="M493" s="28">
        <f>(Fuentes!M1904/Fuentes!M$47)*100000</f>
        <v>0</v>
      </c>
      <c r="N493" s="28">
        <f>(Fuentes!N1904/Fuentes!N$47)*100000</f>
        <v>0</v>
      </c>
      <c r="O493" s="28">
        <f>(Fuentes!O1904/Fuentes!O$47)*100000</f>
        <v>8.5976187605199927E-2</v>
      </c>
      <c r="P493" s="28">
        <f>(Fuentes!P1904/Fuentes!P$47)*100000</f>
        <v>2.1217169612599944E-2</v>
      </c>
      <c r="Q493" s="28">
        <f>(Fuentes!Q1904/Fuentes!Q$47)*100000</f>
        <v>0</v>
      </c>
      <c r="R493" s="28">
        <f>(Fuentes!R1904/Fuentes!R$47)*100000</f>
        <v>8.277756818957388E-2</v>
      </c>
      <c r="S493" s="28">
        <f>(Fuentes!S1904/Fuentes!S$47)*100000</f>
        <v>6.1345026513320453E-2</v>
      </c>
      <c r="T493" s="28">
        <f>(Fuentes!T1904/Fuentes!T$47)*100000</f>
        <v>4.0424612039945178E-2</v>
      </c>
      <c r="U493" s="28">
        <f>(Fuentes!U1904/Fuentes!U$47)*100000</f>
        <v>0.11991862322228136</v>
      </c>
      <c r="V493" s="28">
        <f>(Fuentes!V1904/Fuentes!V$47)*100000</f>
        <v>0.11862398549307739</v>
      </c>
    </row>
    <row r="494" spans="1:22" s="14" customFormat="1" ht="12.75" x14ac:dyDescent="0.2">
      <c r="A494" s="28" t="s">
        <v>3198</v>
      </c>
      <c r="B494" s="29" t="s">
        <v>3480</v>
      </c>
      <c r="C494" s="29">
        <f>(Fuentes!C1905/Fuentes!C$47)*100000</f>
        <v>0</v>
      </c>
      <c r="D494" s="30">
        <f>(Fuentes!D1905/Fuentes!D$47)*100000</f>
        <v>0</v>
      </c>
      <c r="E494" s="35">
        <f>(Fuentes!E1905/Fuentes!E$47)*100000</f>
        <v>0</v>
      </c>
      <c r="F494" s="28">
        <f>(Fuentes!F1905/Fuentes!F$47)*100000</f>
        <v>0</v>
      </c>
      <c r="G494" s="28">
        <f>(Fuentes!G1905/Fuentes!G$47)*100000</f>
        <v>0</v>
      </c>
      <c r="H494" s="28">
        <f>(Fuentes!H1905/Fuentes!H$47)*100000</f>
        <v>0</v>
      </c>
      <c r="I494" s="28">
        <f>(Fuentes!I1905/Fuentes!I$47)*100000</f>
        <v>0</v>
      </c>
      <c r="J494" s="28">
        <f>(Fuentes!J1905/Fuentes!J$47)*100000</f>
        <v>0</v>
      </c>
      <c r="K494" s="28">
        <f>(Fuentes!K1905/Fuentes!K$47)*100000</f>
        <v>0</v>
      </c>
      <c r="L494" s="28">
        <f>(Fuentes!L1905/Fuentes!L$47)*100000</f>
        <v>0</v>
      </c>
      <c r="M494" s="28">
        <f>(Fuentes!M1905/Fuentes!M$47)*100000</f>
        <v>0</v>
      </c>
      <c r="N494" s="36">
        <f>(Fuentes!N1905/Fuentes!N$47)*100000</f>
        <v>4.3552612753903562E-2</v>
      </c>
      <c r="O494" s="28">
        <f>(Fuentes!O1905/Fuentes!O$47)*100000</f>
        <v>8.5976187605199927E-2</v>
      </c>
      <c r="P494" s="28">
        <f>(Fuentes!P1905/Fuentes!P$47)*100000</f>
        <v>6.3651508837799825E-2</v>
      </c>
      <c r="Q494" s="28">
        <f>(Fuentes!Q1905/Fuentes!Q$47)*100000</f>
        <v>6.2851984205715389E-2</v>
      </c>
      <c r="R494" s="28">
        <f>(Fuentes!R1905/Fuentes!R$47)*100000</f>
        <v>0.14486074433175428</v>
      </c>
      <c r="S494" s="28">
        <f>(Fuentes!S1905/Fuentes!S$47)*100000</f>
        <v>6.1345026513320453E-2</v>
      </c>
      <c r="T494" s="28">
        <f>(Fuentes!T1905/Fuentes!T$47)*100000</f>
        <v>6.0636918059917756E-2</v>
      </c>
      <c r="U494" s="28">
        <f>(Fuentes!U1905/Fuentes!U$47)*100000</f>
        <v>9.9932186018567806E-2</v>
      </c>
      <c r="V494" s="28">
        <f>(Fuentes!V1905/Fuentes!V$47)*100000</f>
        <v>0.1779359782396161</v>
      </c>
    </row>
    <row r="495" spans="1:22" s="14" customFormat="1" ht="12.75" x14ac:dyDescent="0.2">
      <c r="A495" s="28" t="s">
        <v>3198</v>
      </c>
      <c r="B495" s="29" t="s">
        <v>3481</v>
      </c>
      <c r="C495" s="29">
        <f>(Fuentes!C1906/Fuentes!C$47)*100000</f>
        <v>0</v>
      </c>
      <c r="D495" s="30">
        <f>(Fuentes!D1906/Fuentes!D$47)*100000</f>
        <v>0</v>
      </c>
      <c r="E495" s="35">
        <f>(Fuentes!E1906/Fuentes!E$47)*100000</f>
        <v>0</v>
      </c>
      <c r="F495" s="28">
        <f>(Fuentes!F1906/Fuentes!F$47)*100000</f>
        <v>0</v>
      </c>
      <c r="G495" s="28">
        <f>(Fuentes!G1906/Fuentes!G$47)*100000</f>
        <v>0</v>
      </c>
      <c r="H495" s="36">
        <f>(Fuentes!H1906/Fuentes!H$47)*100000</f>
        <v>0</v>
      </c>
      <c r="I495" s="28">
        <f>(Fuentes!I1906/Fuentes!I$47)*100000</f>
        <v>0</v>
      </c>
      <c r="J495" s="28">
        <f>(Fuentes!J1906/Fuentes!J$47)*100000</f>
        <v>0</v>
      </c>
      <c r="K495" s="28">
        <f>(Fuentes!K1906/Fuentes!K$47)*100000</f>
        <v>0</v>
      </c>
      <c r="L495" s="28">
        <f>(Fuentes!L1906/Fuentes!L$47)*100000</f>
        <v>0</v>
      </c>
      <c r="M495" s="28">
        <f>(Fuentes!M1906/Fuentes!M$47)*100000</f>
        <v>0</v>
      </c>
      <c r="N495" s="28">
        <f>(Fuentes!N1906/Fuentes!N$47)*100000</f>
        <v>2.1776306376951781E-2</v>
      </c>
      <c r="O495" s="28">
        <f>(Fuentes!O1906/Fuentes!O$47)*100000</f>
        <v>0</v>
      </c>
      <c r="P495" s="28">
        <f>(Fuentes!P1906/Fuentes!P$47)*100000</f>
        <v>0</v>
      </c>
      <c r="Q495" s="28">
        <f>(Fuentes!Q1906/Fuentes!Q$47)*100000</f>
        <v>2.095066140190513E-2</v>
      </c>
      <c r="R495" s="28">
        <f>(Fuentes!R1906/Fuentes!R$47)*100000</f>
        <v>0</v>
      </c>
      <c r="S495" s="28">
        <f>(Fuentes!S1906/Fuentes!S$47)*100000</f>
        <v>0</v>
      </c>
      <c r="T495" s="28">
        <f>(Fuentes!T1906/Fuentes!T$47)*100000</f>
        <v>4.0424612039945178E-2</v>
      </c>
      <c r="U495" s="28">
        <f>(Fuentes!U1906/Fuentes!U$47)*100000</f>
        <v>1.9986437203713559E-2</v>
      </c>
      <c r="V495" s="28">
        <f>(Fuentes!V1906/Fuentes!V$47)*100000</f>
        <v>0.11862398549307739</v>
      </c>
    </row>
    <row r="496" spans="1:22" s="14" customFormat="1" ht="12.75" x14ac:dyDescent="0.2">
      <c r="A496" s="28" t="s">
        <v>3198</v>
      </c>
      <c r="B496" s="29" t="s">
        <v>3482</v>
      </c>
      <c r="C496" s="29">
        <f>(Fuentes!C1907/Fuentes!C$47)*100000</f>
        <v>0</v>
      </c>
      <c r="D496" s="30">
        <f>(Fuentes!D1907/Fuentes!D$47)*100000</f>
        <v>0</v>
      </c>
      <c r="E496" s="35">
        <f>(Fuentes!E1907/Fuentes!E$47)*100000</f>
        <v>0</v>
      </c>
      <c r="F496" s="28">
        <f>(Fuentes!F1907/Fuentes!F$47)*100000</f>
        <v>0</v>
      </c>
      <c r="G496" s="28">
        <f>(Fuentes!G1907/Fuentes!G$47)*100000</f>
        <v>0</v>
      </c>
      <c r="H496" s="28">
        <f>(Fuentes!H1907/Fuentes!H$47)*100000</f>
        <v>4.7446793166143482E-2</v>
      </c>
      <c r="I496" s="28">
        <f>(Fuentes!I1907/Fuentes!I$47)*100000</f>
        <v>0</v>
      </c>
      <c r="J496" s="28">
        <f>(Fuentes!J1907/Fuentes!J$47)*100000</f>
        <v>0</v>
      </c>
      <c r="K496" s="28">
        <f>(Fuentes!K1907/Fuentes!K$47)*100000</f>
        <v>4.5412332627171564E-2</v>
      </c>
      <c r="L496" s="28">
        <f>(Fuentes!L1907/Fuentes!L$47)*100000</f>
        <v>0</v>
      </c>
      <c r="M496" s="28">
        <f>(Fuentes!M1907/Fuentes!M$47)*100000</f>
        <v>0</v>
      </c>
      <c r="N496" s="36">
        <f>(Fuentes!N1907/Fuentes!N$47)*100000</f>
        <v>0.21776306376951785</v>
      </c>
      <c r="O496" s="28">
        <f>(Fuentes!O1907/Fuentes!O$47)*100000</f>
        <v>0.12896428140779989</v>
      </c>
      <c r="P496" s="28">
        <f>(Fuentes!P1907/Fuentes!P$47)*100000</f>
        <v>0.3394747138015991</v>
      </c>
      <c r="Q496" s="28">
        <f>(Fuentes!Q1907/Fuentes!Q$47)*100000</f>
        <v>0.37711190523429228</v>
      </c>
      <c r="R496" s="28">
        <f>(Fuentes!R1907/Fuentes!R$47)*100000</f>
        <v>0.4138878409478694</v>
      </c>
      <c r="S496" s="28">
        <f>(Fuentes!S1907/Fuentes!S$47)*100000</f>
        <v>0.44986352776435007</v>
      </c>
      <c r="T496" s="28">
        <f>(Fuentes!T1907/Fuentes!T$47)*100000</f>
        <v>0.84891685283884877</v>
      </c>
      <c r="U496" s="28">
        <f>(Fuentes!U1907/Fuentes!U$47)*100000</f>
        <v>0.97933542298196452</v>
      </c>
      <c r="V496" s="28">
        <f>(Fuentes!V1907/Fuentes!V$47)*100000</f>
        <v>0.86990922694923423</v>
      </c>
    </row>
    <row r="497" spans="1:22" s="14" customFormat="1" ht="12.75" x14ac:dyDescent="0.2">
      <c r="A497" s="28" t="s">
        <v>3198</v>
      </c>
      <c r="B497" s="29" t="s">
        <v>3483</v>
      </c>
      <c r="C497" s="29">
        <f>(Fuentes!C1908/Fuentes!C$47)*100000</f>
        <v>0</v>
      </c>
      <c r="D497" s="30">
        <f>(Fuentes!D1908/Fuentes!D$47)*100000</f>
        <v>0</v>
      </c>
      <c r="E497" s="35">
        <f>(Fuentes!E1908/Fuentes!E$47)*100000</f>
        <v>0</v>
      </c>
      <c r="F497" s="28">
        <f>(Fuentes!F1908/Fuentes!F$47)*100000</f>
        <v>0</v>
      </c>
      <c r="G497" s="28">
        <f>(Fuentes!G1908/Fuentes!G$47)*100000</f>
        <v>0</v>
      </c>
      <c r="H497" s="36">
        <f>(Fuentes!H1908/Fuentes!H$47)*100000</f>
        <v>0</v>
      </c>
      <c r="I497" s="28">
        <f>(Fuentes!I1908/Fuentes!I$47)*100000</f>
        <v>0</v>
      </c>
      <c r="J497" s="28">
        <f>(Fuentes!J1908/Fuentes!J$47)*100000</f>
        <v>0</v>
      </c>
      <c r="K497" s="28">
        <f>(Fuentes!K1908/Fuentes!K$47)*100000</f>
        <v>0</v>
      </c>
      <c r="L497" s="28">
        <f>(Fuentes!L1908/Fuentes!L$47)*100000</f>
        <v>0</v>
      </c>
      <c r="M497" s="28">
        <f>(Fuentes!M1908/Fuentes!M$47)*100000</f>
        <v>0</v>
      </c>
      <c r="N497" s="28">
        <f>(Fuentes!N1908/Fuentes!N$47)*100000</f>
        <v>2.1776306376951781E-2</v>
      </c>
      <c r="O497" s="28">
        <f>(Fuentes!O1908/Fuentes!O$47)*100000</f>
        <v>2.1494046901299982E-2</v>
      </c>
      <c r="P497" s="28">
        <f>(Fuentes!P1908/Fuentes!P$47)*100000</f>
        <v>8.4868678450399776E-2</v>
      </c>
      <c r="Q497" s="28">
        <f>(Fuentes!Q1908/Fuentes!Q$47)*100000</f>
        <v>0.12570396841143078</v>
      </c>
      <c r="R497" s="28">
        <f>(Fuentes!R1908/Fuentes!R$47)*100000</f>
        <v>8.277756818957388E-2</v>
      </c>
      <c r="S497" s="28">
        <f>(Fuentes!S1908/Fuentes!S$47)*100000</f>
        <v>4.0896684342213642E-2</v>
      </c>
      <c r="T497" s="28">
        <f>(Fuentes!T1908/Fuentes!T$47)*100000</f>
        <v>0</v>
      </c>
      <c r="U497" s="28">
        <f>(Fuentes!U1908/Fuentes!U$47)*100000</f>
        <v>0</v>
      </c>
      <c r="V497" s="28">
        <f>(Fuentes!V1908/Fuentes!V$47)*100000</f>
        <v>1.9770664248846232E-2</v>
      </c>
    </row>
    <row r="498" spans="1:22" s="14" customFormat="1" ht="12.75" x14ac:dyDescent="0.2">
      <c r="A498" s="28" t="s">
        <v>3198</v>
      </c>
      <c r="B498" s="29" t="s">
        <v>3484</v>
      </c>
      <c r="C498" s="29">
        <f>(Fuentes!C1909/Fuentes!C$47)*100000</f>
        <v>0.10329647456879532</v>
      </c>
      <c r="D498" s="30">
        <f>(Fuentes!D1909/Fuentes!D$47)*100000</f>
        <v>0.15176836707101973</v>
      </c>
      <c r="E498" s="35">
        <f>(Fuentes!E1909/Fuentes!E$47)*100000</f>
        <v>9.9442352149732335E-2</v>
      </c>
      <c r="F498" s="28">
        <f>(Fuentes!F1909/Fuentes!F$47)*100000</f>
        <v>9.7885549768072427E-2</v>
      </c>
      <c r="G498" s="28">
        <f>(Fuentes!G1909/Fuentes!G$47)*100000</f>
        <v>0.19268644159445142</v>
      </c>
      <c r="H498" s="28">
        <f>(Fuentes!H1909/Fuentes!H$47)*100000</f>
        <v>0.49819132824450663</v>
      </c>
      <c r="I498" s="28">
        <f>(Fuentes!I1909/Fuentes!I$47)*100000</f>
        <v>0.49080832859664342</v>
      </c>
      <c r="J498" s="28">
        <f>(Fuentes!J1909/Fuentes!J$47)*100000</f>
        <v>0.59902451162222747</v>
      </c>
      <c r="K498" s="28">
        <f>(Fuentes!K1909/Fuentes!K$47)*100000</f>
        <v>0.68118498940757333</v>
      </c>
      <c r="L498" s="28">
        <f>(Fuentes!L1909/Fuentes!L$47)*100000</f>
        <v>0.51461771622949892</v>
      </c>
      <c r="M498" s="28">
        <f>(Fuentes!M1909/Fuentes!M$47)*100000</f>
        <v>0.83813163695490023</v>
      </c>
      <c r="N498" s="36">
        <f>(Fuentes!N1909/Fuentes!N$47)*100000</f>
        <v>0.95815748058587846</v>
      </c>
      <c r="O498" s="28">
        <f>(Fuentes!O1909/Fuentes!O$47)*100000</f>
        <v>0.73079759464419936</v>
      </c>
      <c r="P498" s="28">
        <f>(Fuentes!P1909/Fuentes!P$47)*100000</f>
        <v>0.4455605618645988</v>
      </c>
      <c r="Q498" s="28">
        <f>(Fuentes!Q1909/Fuentes!Q$47)*100000</f>
        <v>0.50281587364572311</v>
      </c>
      <c r="R498" s="28">
        <f>(Fuentes!R1909/Fuentes!R$47)*100000</f>
        <v>0.72430372165877144</v>
      </c>
      <c r="S498" s="28">
        <f>(Fuentes!S1909/Fuentes!S$47)*100000</f>
        <v>0.83838202901537962</v>
      </c>
      <c r="T498" s="28">
        <f>(Fuentes!T1909/Fuentes!T$47)*100000</f>
        <v>0.16169844815978071</v>
      </c>
      <c r="U498" s="28">
        <f>(Fuentes!U1909/Fuentes!U$47)*100000</f>
        <v>0</v>
      </c>
      <c r="V498" s="28">
        <f>(Fuentes!V1909/Fuentes!V$47)*100000</f>
        <v>1.2060105191796202</v>
      </c>
    </row>
    <row r="499" spans="1:22" s="14" customFormat="1" ht="12.75" x14ac:dyDescent="0.2">
      <c r="A499" s="28" t="s">
        <v>3198</v>
      </c>
      <c r="B499" s="29" t="s">
        <v>3485</v>
      </c>
      <c r="C499" s="29">
        <f>(Fuentes!C1910/Fuentes!C$47)*100000</f>
        <v>0</v>
      </c>
      <c r="D499" s="30">
        <f>(Fuentes!D1910/Fuentes!D$47)*100000</f>
        <v>0</v>
      </c>
      <c r="E499" s="35">
        <f>(Fuentes!E1910/Fuentes!E$47)*100000</f>
        <v>2.4860588037433084E-2</v>
      </c>
      <c r="F499" s="28">
        <f>(Fuentes!F1910/Fuentes!F$47)*100000</f>
        <v>0</v>
      </c>
      <c r="G499" s="28">
        <f>(Fuentes!G1910/Fuentes!G$47)*100000</f>
        <v>2.4085805199306427E-2</v>
      </c>
      <c r="H499" s="36">
        <f>(Fuentes!H1910/Fuentes!H$47)*100000</f>
        <v>2.3723396583071741E-2</v>
      </c>
      <c r="I499" s="28">
        <f>(Fuentes!I1910/Fuentes!I$47)*100000</f>
        <v>2.3371825171268734E-2</v>
      </c>
      <c r="J499" s="28">
        <f>(Fuentes!J1910/Fuentes!J$47)*100000</f>
        <v>0</v>
      </c>
      <c r="K499" s="28">
        <f>(Fuentes!K1910/Fuentes!K$47)*100000</f>
        <v>2.2706166313585782E-2</v>
      </c>
      <c r="L499" s="28">
        <f>(Fuentes!L1910/Fuentes!L$47)*100000</f>
        <v>6.7124049942978117E-2</v>
      </c>
      <c r="M499" s="28">
        <f>(Fuentes!M1910/Fuentes!M$47)*100000</f>
        <v>8.8224382837357909E-2</v>
      </c>
      <c r="N499" s="28">
        <f>(Fuentes!N1910/Fuentes!N$47)*100000</f>
        <v>8.7105225507807124E-2</v>
      </c>
      <c r="O499" s="28">
        <f>(Fuentes!O1910/Fuentes!O$47)*100000</f>
        <v>8.5976187605199927E-2</v>
      </c>
      <c r="P499" s="28">
        <f>(Fuentes!P1910/Fuentes!P$47)*100000</f>
        <v>2.1217169612599944E-2</v>
      </c>
      <c r="Q499" s="28">
        <f>(Fuentes!Q1910/Fuentes!Q$47)*100000</f>
        <v>2.095066140190513E-2</v>
      </c>
      <c r="R499" s="28">
        <f>(Fuentes!R1910/Fuentes!R$47)*100000</f>
        <v>6.2083176142180403E-2</v>
      </c>
      <c r="S499" s="28">
        <f>(Fuentes!S1910/Fuentes!S$47)*100000</f>
        <v>6.1345026513320453E-2</v>
      </c>
      <c r="T499" s="28">
        <f>(Fuentes!T1910/Fuentes!T$47)*100000</f>
        <v>2.0212306019972589E-2</v>
      </c>
      <c r="U499" s="28">
        <f>(Fuentes!U1910/Fuentes!U$47)*100000</f>
        <v>0</v>
      </c>
      <c r="V499" s="28">
        <f>(Fuentes!V1910/Fuentes!V$47)*100000</f>
        <v>5.9311992746538693E-2</v>
      </c>
    </row>
    <row r="500" spans="1:22" s="14" customFormat="1" ht="12.75" x14ac:dyDescent="0.2">
      <c r="A500" s="28" t="s">
        <v>3198</v>
      </c>
      <c r="B500" s="29" t="s">
        <v>3486</v>
      </c>
      <c r="C500" s="29">
        <f>(Fuentes!C1911/Fuentes!C$47)*100000</f>
        <v>0</v>
      </c>
      <c r="D500" s="30">
        <f>(Fuentes!D1911/Fuentes!D$47)*100000</f>
        <v>0</v>
      </c>
      <c r="E500" s="35">
        <f>(Fuentes!E1911/Fuentes!E$47)*100000</f>
        <v>2.4860588037433084E-2</v>
      </c>
      <c r="F500" s="28">
        <f>(Fuentes!F1911/Fuentes!F$47)*100000</f>
        <v>0</v>
      </c>
      <c r="G500" s="28">
        <f>(Fuentes!G1911/Fuentes!G$47)*100000</f>
        <v>2.4085805199306427E-2</v>
      </c>
      <c r="H500" s="28">
        <f>(Fuentes!H1911/Fuentes!H$47)*100000</f>
        <v>0</v>
      </c>
      <c r="I500" s="28">
        <f>(Fuentes!I1911/Fuentes!I$47)*100000</f>
        <v>2.3371825171268734E-2</v>
      </c>
      <c r="J500" s="28">
        <f>(Fuentes!J1911/Fuentes!J$47)*100000</f>
        <v>0</v>
      </c>
      <c r="K500" s="28">
        <f>(Fuentes!K1911/Fuentes!K$47)*100000</f>
        <v>0</v>
      </c>
      <c r="L500" s="28">
        <f>(Fuentes!L1911/Fuentes!L$47)*100000</f>
        <v>0</v>
      </c>
      <c r="M500" s="28">
        <f>(Fuentes!M1911/Fuentes!M$47)*100000</f>
        <v>0</v>
      </c>
      <c r="N500" s="36">
        <f>(Fuentes!N1911/Fuentes!N$47)*100000</f>
        <v>4.3552612753903562E-2</v>
      </c>
      <c r="O500" s="28">
        <f>(Fuentes!O1911/Fuentes!O$47)*100000</f>
        <v>0</v>
      </c>
      <c r="P500" s="28">
        <f>(Fuentes!P1911/Fuentes!P$47)*100000</f>
        <v>0</v>
      </c>
      <c r="Q500" s="28">
        <f>(Fuentes!Q1911/Fuentes!Q$47)*100000</f>
        <v>0</v>
      </c>
      <c r="R500" s="28">
        <f>(Fuentes!R1911/Fuentes!R$47)*100000</f>
        <v>0</v>
      </c>
      <c r="S500" s="28">
        <f>(Fuentes!S1911/Fuentes!S$47)*100000</f>
        <v>0</v>
      </c>
      <c r="T500" s="28">
        <f>(Fuentes!T1911/Fuentes!T$47)*100000</f>
        <v>0</v>
      </c>
      <c r="U500" s="28">
        <f>(Fuentes!U1911/Fuentes!U$47)*100000</f>
        <v>0</v>
      </c>
      <c r="V500" s="28">
        <f>(Fuentes!V1911/Fuentes!V$47)*100000</f>
        <v>1.9770664248846232E-2</v>
      </c>
    </row>
    <row r="501" spans="1:22" s="14" customFormat="1" ht="12.75" x14ac:dyDescent="0.2">
      <c r="A501" s="28" t="s">
        <v>3198</v>
      </c>
      <c r="B501" s="29" t="s">
        <v>3487</v>
      </c>
      <c r="C501" s="29">
        <f>(Fuentes!C1912/Fuentes!C$47)*100000</f>
        <v>0</v>
      </c>
      <c r="D501" s="30">
        <f>(Fuentes!D1912/Fuentes!D$47)*100000</f>
        <v>0</v>
      </c>
      <c r="E501" s="35">
        <f>(Fuentes!E1912/Fuentes!E$47)*100000</f>
        <v>0</v>
      </c>
      <c r="F501" s="28">
        <f>(Fuentes!F1912/Fuentes!F$47)*100000</f>
        <v>0</v>
      </c>
      <c r="G501" s="28">
        <f>(Fuentes!G1912/Fuentes!G$47)*100000</f>
        <v>0</v>
      </c>
      <c r="H501" s="36">
        <f>(Fuentes!H1912/Fuentes!H$47)*100000</f>
        <v>0</v>
      </c>
      <c r="I501" s="28">
        <f>(Fuentes!I1912/Fuentes!I$47)*100000</f>
        <v>0</v>
      </c>
      <c r="J501" s="28">
        <f>(Fuentes!J1912/Fuentes!J$47)*100000</f>
        <v>0</v>
      </c>
      <c r="K501" s="28">
        <f>(Fuentes!K1912/Fuentes!K$47)*100000</f>
        <v>0</v>
      </c>
      <c r="L501" s="28">
        <f>(Fuentes!L1912/Fuentes!L$47)*100000</f>
        <v>4.4749366628652081E-2</v>
      </c>
      <c r="M501" s="28">
        <f>(Fuentes!M1912/Fuentes!M$47)*100000</f>
        <v>4.4112191418678955E-2</v>
      </c>
      <c r="N501" s="28">
        <f>(Fuentes!N1912/Fuentes!N$47)*100000</f>
        <v>2.1776306376951781E-2</v>
      </c>
      <c r="O501" s="28">
        <f>(Fuentes!O1912/Fuentes!O$47)*100000</f>
        <v>0</v>
      </c>
      <c r="P501" s="28">
        <f>(Fuentes!P1912/Fuentes!P$47)*100000</f>
        <v>0</v>
      </c>
      <c r="Q501" s="28">
        <f>(Fuentes!Q1912/Fuentes!Q$47)*100000</f>
        <v>0</v>
      </c>
      <c r="R501" s="28">
        <f>(Fuentes!R1912/Fuentes!R$47)*100000</f>
        <v>0</v>
      </c>
      <c r="S501" s="28">
        <f>(Fuentes!S1912/Fuentes!S$47)*100000</f>
        <v>2.0448342171106821E-2</v>
      </c>
      <c r="T501" s="28">
        <f>(Fuentes!T1912/Fuentes!T$47)*100000</f>
        <v>2.0212306019972589E-2</v>
      </c>
      <c r="U501" s="28">
        <f>(Fuentes!U1912/Fuentes!U$47)*100000</f>
        <v>0</v>
      </c>
      <c r="V501" s="28">
        <f>(Fuentes!V1912/Fuentes!V$47)*100000</f>
        <v>3.9541328497692464E-2</v>
      </c>
    </row>
    <row r="502" spans="1:22" s="14" customFormat="1" ht="12.75" x14ac:dyDescent="0.2">
      <c r="A502" s="28" t="s">
        <v>3198</v>
      </c>
      <c r="B502" s="29" t="s">
        <v>3488</v>
      </c>
      <c r="C502" s="29">
        <f>(Fuentes!C1913/Fuentes!C$47)*100000</f>
        <v>0</v>
      </c>
      <c r="D502" s="30">
        <f>(Fuentes!D1913/Fuentes!D$47)*100000</f>
        <v>0</v>
      </c>
      <c r="E502" s="35">
        <f>(Fuentes!E1913/Fuentes!E$47)*100000</f>
        <v>0</v>
      </c>
      <c r="F502" s="28">
        <f>(Fuentes!F1913/Fuentes!F$47)*100000</f>
        <v>0</v>
      </c>
      <c r="G502" s="28">
        <f>(Fuentes!G1913/Fuentes!G$47)*100000</f>
        <v>0</v>
      </c>
      <c r="H502" s="28">
        <f>(Fuentes!H1913/Fuentes!H$47)*100000</f>
        <v>0</v>
      </c>
      <c r="I502" s="28">
        <f>(Fuentes!I1913/Fuentes!I$47)*100000</f>
        <v>0</v>
      </c>
      <c r="J502" s="28">
        <f>(Fuentes!J1913/Fuentes!J$47)*100000</f>
        <v>0</v>
      </c>
      <c r="K502" s="28">
        <f>(Fuentes!K1913/Fuentes!K$47)*100000</f>
        <v>0</v>
      </c>
      <c r="L502" s="28">
        <f>(Fuentes!L1913/Fuentes!L$47)*100000</f>
        <v>0</v>
      </c>
      <c r="M502" s="28">
        <f>(Fuentes!M1913/Fuentes!M$47)*100000</f>
        <v>0</v>
      </c>
      <c r="N502" s="36">
        <f>(Fuentes!N1913/Fuentes!N$47)*100000</f>
        <v>0</v>
      </c>
      <c r="O502" s="28">
        <f>(Fuentes!O1913/Fuentes!O$47)*100000</f>
        <v>0</v>
      </c>
      <c r="P502" s="28">
        <f>(Fuentes!P1913/Fuentes!P$47)*100000</f>
        <v>0</v>
      </c>
      <c r="Q502" s="28">
        <f>(Fuentes!Q1913/Fuentes!Q$47)*100000</f>
        <v>0</v>
      </c>
      <c r="R502" s="28">
        <f>(Fuentes!R1913/Fuentes!R$47)*100000</f>
        <v>0</v>
      </c>
      <c r="S502" s="28">
        <f>(Fuentes!S1913/Fuentes!S$47)*100000</f>
        <v>4.0896684342213642E-2</v>
      </c>
      <c r="T502" s="28">
        <f>(Fuentes!T1913/Fuentes!T$47)*100000</f>
        <v>0</v>
      </c>
      <c r="U502" s="28">
        <f>(Fuentes!U1913/Fuentes!U$47)*100000</f>
        <v>0</v>
      </c>
      <c r="V502" s="28">
        <f>(Fuentes!V1913/Fuentes!V$47)*100000</f>
        <v>0</v>
      </c>
    </row>
    <row r="503" spans="1:22" s="14" customFormat="1" ht="12.75" x14ac:dyDescent="0.2">
      <c r="A503" s="28" t="s">
        <v>3198</v>
      </c>
      <c r="B503" s="29" t="s">
        <v>3489</v>
      </c>
      <c r="C503" s="29">
        <f>(Fuentes!C1914/Fuentes!C$47)*100000</f>
        <v>0</v>
      </c>
      <c r="D503" s="30">
        <f>(Fuentes!D1914/Fuentes!D$47)*100000</f>
        <v>0</v>
      </c>
      <c r="E503" s="35">
        <f>(Fuentes!E1914/Fuentes!E$47)*100000</f>
        <v>0</v>
      </c>
      <c r="F503" s="28">
        <f>(Fuentes!F1914/Fuentes!F$47)*100000</f>
        <v>0</v>
      </c>
      <c r="G503" s="28">
        <f>(Fuentes!G1914/Fuentes!G$47)*100000</f>
        <v>0</v>
      </c>
      <c r="H503" s="36">
        <f>(Fuentes!H1914/Fuentes!H$47)*100000</f>
        <v>0</v>
      </c>
      <c r="I503" s="28">
        <f>(Fuentes!I1914/Fuentes!I$47)*100000</f>
        <v>0</v>
      </c>
      <c r="J503" s="28">
        <f>(Fuentes!J1914/Fuentes!J$47)*100000</f>
        <v>0</v>
      </c>
      <c r="K503" s="28">
        <f>(Fuentes!K1914/Fuentes!K$47)*100000</f>
        <v>0</v>
      </c>
      <c r="L503" s="28">
        <f>(Fuentes!L1914/Fuentes!L$47)*100000</f>
        <v>0</v>
      </c>
      <c r="M503" s="28">
        <f>(Fuentes!M1914/Fuentes!M$47)*100000</f>
        <v>0</v>
      </c>
      <c r="N503" s="28">
        <f>(Fuentes!N1914/Fuentes!N$47)*100000</f>
        <v>0</v>
      </c>
      <c r="O503" s="28">
        <f>(Fuentes!O1914/Fuentes!O$47)*100000</f>
        <v>2.1494046901299982E-2</v>
      </c>
      <c r="P503" s="28">
        <f>(Fuentes!P1914/Fuentes!P$47)*100000</f>
        <v>2.1217169612599944E-2</v>
      </c>
      <c r="Q503" s="28">
        <f>(Fuentes!Q1914/Fuentes!Q$47)*100000</f>
        <v>0</v>
      </c>
      <c r="R503" s="28">
        <f>(Fuentes!R1914/Fuentes!R$47)*100000</f>
        <v>0</v>
      </c>
      <c r="S503" s="28">
        <f>(Fuentes!S1914/Fuentes!S$47)*100000</f>
        <v>0</v>
      </c>
      <c r="T503" s="28">
        <f>(Fuentes!T1914/Fuentes!T$47)*100000</f>
        <v>0</v>
      </c>
      <c r="U503" s="28">
        <f>(Fuentes!U1914/Fuentes!U$47)*100000</f>
        <v>0</v>
      </c>
      <c r="V503" s="28">
        <f>(Fuentes!V1914/Fuentes!V$47)*100000</f>
        <v>0</v>
      </c>
    </row>
    <row r="504" spans="1:22" s="14" customFormat="1" ht="12.75" x14ac:dyDescent="0.2">
      <c r="A504" s="28" t="s">
        <v>3198</v>
      </c>
      <c r="B504" s="29" t="s">
        <v>3490</v>
      </c>
      <c r="C504" s="29">
        <f>(Fuentes!C1915/Fuentes!C$47)*100000</f>
        <v>0</v>
      </c>
      <c r="D504" s="30">
        <f>(Fuentes!D1915/Fuentes!D$47)*100000</f>
        <v>0</v>
      </c>
      <c r="E504" s="35">
        <f>(Fuentes!E1915/Fuentes!E$47)*100000</f>
        <v>0</v>
      </c>
      <c r="F504" s="28">
        <f>(Fuentes!F1915/Fuentes!F$47)*100000</f>
        <v>0</v>
      </c>
      <c r="G504" s="28">
        <f>(Fuentes!G1915/Fuentes!G$47)*100000</f>
        <v>0</v>
      </c>
      <c r="H504" s="28">
        <f>(Fuentes!H1915/Fuentes!H$47)*100000</f>
        <v>0</v>
      </c>
      <c r="I504" s="28">
        <f>(Fuentes!I1915/Fuentes!I$47)*100000</f>
        <v>0</v>
      </c>
      <c r="J504" s="28">
        <f>(Fuentes!J1915/Fuentes!J$47)*100000</f>
        <v>0</v>
      </c>
      <c r="K504" s="28">
        <f>(Fuentes!K1915/Fuentes!K$47)*100000</f>
        <v>0</v>
      </c>
      <c r="L504" s="28">
        <f>(Fuentes!L1915/Fuentes!L$47)*100000</f>
        <v>0</v>
      </c>
      <c r="M504" s="28">
        <f>(Fuentes!M1915/Fuentes!M$47)*100000</f>
        <v>0</v>
      </c>
      <c r="N504" s="36">
        <f>(Fuentes!N1915/Fuentes!N$47)*100000</f>
        <v>0</v>
      </c>
      <c r="O504" s="28">
        <f>(Fuentes!O1915/Fuentes!O$47)*100000</f>
        <v>2.1494046901299982E-2</v>
      </c>
      <c r="P504" s="28">
        <f>(Fuentes!P1915/Fuentes!P$47)*100000</f>
        <v>0</v>
      </c>
      <c r="Q504" s="28">
        <f>(Fuentes!Q1915/Fuentes!Q$47)*100000</f>
        <v>0</v>
      </c>
      <c r="R504" s="28">
        <f>(Fuentes!R1915/Fuentes!R$47)*100000</f>
        <v>0</v>
      </c>
      <c r="S504" s="28">
        <f>(Fuentes!S1915/Fuentes!S$47)*100000</f>
        <v>0</v>
      </c>
      <c r="T504" s="28">
        <f>(Fuentes!T1915/Fuentes!T$47)*100000</f>
        <v>0</v>
      </c>
      <c r="U504" s="28">
        <f>(Fuentes!U1915/Fuentes!U$47)*100000</f>
        <v>0</v>
      </c>
      <c r="V504" s="28">
        <f>(Fuentes!V1915/Fuentes!V$47)*100000</f>
        <v>0</v>
      </c>
    </row>
    <row r="505" spans="1:22" s="14" customFormat="1" ht="12.75" x14ac:dyDescent="0.2">
      <c r="A505" s="28" t="s">
        <v>3198</v>
      </c>
      <c r="B505" s="29" t="s">
        <v>3491</v>
      </c>
      <c r="C505" s="29">
        <f>(Fuentes!C1916/Fuentes!C$47)*100000</f>
        <v>0</v>
      </c>
      <c r="D505" s="30">
        <f>(Fuentes!D1916/Fuentes!D$47)*100000</f>
        <v>0</v>
      </c>
      <c r="E505" s="35">
        <f>(Fuentes!E1916/Fuentes!E$47)*100000</f>
        <v>0</v>
      </c>
      <c r="F505" s="28">
        <f>(Fuentes!F1916/Fuentes!F$47)*100000</f>
        <v>0</v>
      </c>
      <c r="G505" s="28">
        <f>(Fuentes!G1916/Fuentes!G$47)*100000</f>
        <v>0</v>
      </c>
      <c r="H505" s="36">
        <f>(Fuentes!H1916/Fuentes!H$47)*100000</f>
        <v>0</v>
      </c>
      <c r="I505" s="28">
        <f>(Fuentes!I1916/Fuentes!I$47)*100000</f>
        <v>0</v>
      </c>
      <c r="J505" s="28">
        <f>(Fuentes!J1916/Fuentes!J$47)*100000</f>
        <v>0</v>
      </c>
      <c r="K505" s="28">
        <f>(Fuentes!K1916/Fuentes!K$47)*100000</f>
        <v>0</v>
      </c>
      <c r="L505" s="28">
        <f>(Fuentes!L1916/Fuentes!L$47)*100000</f>
        <v>0</v>
      </c>
      <c r="M505" s="28">
        <f>(Fuentes!M1916/Fuentes!M$47)*100000</f>
        <v>0</v>
      </c>
      <c r="N505" s="28">
        <f>(Fuentes!N1916/Fuentes!N$47)*100000</f>
        <v>0</v>
      </c>
      <c r="O505" s="28">
        <f>(Fuentes!O1916/Fuentes!O$47)*100000</f>
        <v>0</v>
      </c>
      <c r="P505" s="28">
        <f>(Fuentes!P1916/Fuentes!P$47)*100000</f>
        <v>0</v>
      </c>
      <c r="Q505" s="28">
        <f>(Fuentes!Q1916/Fuentes!Q$47)*100000</f>
        <v>2.095066140190513E-2</v>
      </c>
      <c r="R505" s="28">
        <f>(Fuentes!R1916/Fuentes!R$47)*100000</f>
        <v>6.2083176142180403E-2</v>
      </c>
      <c r="S505" s="28">
        <f>(Fuentes!S1916/Fuentes!S$47)*100000</f>
        <v>0</v>
      </c>
      <c r="T505" s="28">
        <f>(Fuentes!T1916/Fuentes!T$47)*100000</f>
        <v>0</v>
      </c>
      <c r="U505" s="28">
        <f>(Fuentes!U1916/Fuentes!U$47)*100000</f>
        <v>0</v>
      </c>
      <c r="V505" s="28">
        <f>(Fuentes!V1916/Fuentes!V$47)*100000</f>
        <v>0</v>
      </c>
    </row>
    <row r="506" spans="1:22" s="14" customFormat="1" ht="12.75" x14ac:dyDescent="0.2">
      <c r="A506" s="28" t="s">
        <v>3198</v>
      </c>
      <c r="B506" s="29" t="s">
        <v>3492</v>
      </c>
      <c r="C506" s="29">
        <f>(Fuentes!C1917/Fuentes!C$47)*100000</f>
        <v>0</v>
      </c>
      <c r="D506" s="30">
        <f>(Fuentes!D1917/Fuentes!D$47)*100000</f>
        <v>0</v>
      </c>
      <c r="E506" s="35">
        <f>(Fuentes!E1917/Fuentes!E$47)*100000</f>
        <v>0</v>
      </c>
      <c r="F506" s="28">
        <f>(Fuentes!F1917/Fuentes!F$47)*100000</f>
        <v>0</v>
      </c>
      <c r="G506" s="28">
        <f>(Fuentes!G1917/Fuentes!G$47)*100000</f>
        <v>0</v>
      </c>
      <c r="H506" s="28">
        <f>(Fuentes!H1917/Fuentes!H$47)*100000</f>
        <v>2.3723396583071741E-2</v>
      </c>
      <c r="I506" s="28">
        <f>(Fuentes!I1917/Fuentes!I$47)*100000</f>
        <v>0</v>
      </c>
      <c r="J506" s="28">
        <f>(Fuentes!J1917/Fuentes!J$47)*100000</f>
        <v>0</v>
      </c>
      <c r="K506" s="28">
        <f>(Fuentes!K1917/Fuentes!K$47)*100000</f>
        <v>2.2706166313585782E-2</v>
      </c>
      <c r="L506" s="28">
        <f>(Fuentes!L1917/Fuentes!L$47)*100000</f>
        <v>2.237468331432604E-2</v>
      </c>
      <c r="M506" s="28">
        <f>(Fuentes!M1917/Fuentes!M$47)*100000</f>
        <v>4.4112191418678955E-2</v>
      </c>
      <c r="N506" s="36">
        <f>(Fuentes!N1917/Fuentes!N$47)*100000</f>
        <v>2.1776306376951781E-2</v>
      </c>
      <c r="O506" s="28">
        <f>(Fuentes!O1917/Fuentes!O$47)*100000</f>
        <v>4.2988093802599964E-2</v>
      </c>
      <c r="P506" s="28">
        <f>(Fuentes!P1917/Fuentes!P$47)*100000</f>
        <v>0</v>
      </c>
      <c r="Q506" s="28">
        <f>(Fuentes!Q1917/Fuentes!Q$47)*100000</f>
        <v>0</v>
      </c>
      <c r="R506" s="28">
        <f>(Fuentes!R1917/Fuentes!R$47)*100000</f>
        <v>0</v>
      </c>
      <c r="S506" s="28">
        <f>(Fuentes!S1917/Fuentes!S$47)*100000</f>
        <v>0</v>
      </c>
      <c r="T506" s="28">
        <f>(Fuentes!T1917/Fuentes!T$47)*100000</f>
        <v>0</v>
      </c>
      <c r="U506" s="28">
        <f>(Fuentes!U1917/Fuentes!U$47)*100000</f>
        <v>0</v>
      </c>
      <c r="V506" s="28">
        <f>(Fuentes!V1917/Fuentes!V$47)*100000</f>
        <v>0</v>
      </c>
    </row>
    <row r="507" spans="1:22" s="14" customFormat="1" ht="12.75" x14ac:dyDescent="0.2">
      <c r="A507" s="28" t="s">
        <v>3198</v>
      </c>
      <c r="B507" s="29" t="s">
        <v>3493</v>
      </c>
      <c r="C507" s="29">
        <f>(Fuentes!C1918/Fuentes!C$47)*100000</f>
        <v>121.50247821154549</v>
      </c>
      <c r="D507" s="30">
        <f>(Fuentes!D1918/Fuentes!D$47)*100000</f>
        <v>92.249872451334838</v>
      </c>
      <c r="E507" s="35">
        <f>(Fuentes!E1918/Fuentes!E$47)*100000</f>
        <v>97.726971575149449</v>
      </c>
      <c r="F507" s="28">
        <f>(Fuentes!F1918/Fuentes!F$47)*100000</f>
        <v>139.0708948329889</v>
      </c>
      <c r="G507" s="28">
        <f>(Fuentes!G1918/Fuentes!G$47)*100000</f>
        <v>210.38950841594161</v>
      </c>
      <c r="H507" s="36">
        <f>(Fuentes!H1918/Fuentes!H$47)*100000</f>
        <v>120.63347162491981</v>
      </c>
      <c r="I507" s="28">
        <f>(Fuentes!I1918/Fuentes!I$47)*100000</f>
        <v>129.03584677057469</v>
      </c>
      <c r="J507" s="28">
        <f>(Fuentes!J1918/Fuentes!J$47)*100000</f>
        <v>92.180656576943548</v>
      </c>
      <c r="K507" s="28">
        <f>(Fuentes!K1918/Fuentes!K$47)*100000</f>
        <v>101.31491409121976</v>
      </c>
      <c r="L507" s="28">
        <f>(Fuentes!L1918/Fuentes!L$47)*100000</f>
        <v>104.01990272830176</v>
      </c>
      <c r="M507" s="28">
        <f>(Fuentes!M1918/Fuentes!M$47)*100000</f>
        <v>93.253172659087312</v>
      </c>
      <c r="N507" s="28">
        <f>(Fuentes!N1918/Fuentes!N$47)*100000</f>
        <v>89.544171822025731</v>
      </c>
      <c r="O507" s="28">
        <f>(Fuentes!O1918/Fuentes!O$47)*100000</f>
        <v>82.601622241695821</v>
      </c>
      <c r="P507" s="28">
        <f>(Fuentes!P1918/Fuentes!P$47)*100000</f>
        <v>89.09089520330717</v>
      </c>
      <c r="Q507" s="28">
        <f>(Fuentes!Q1918/Fuentes!Q$47)*100000</f>
        <v>96.121634511940726</v>
      </c>
      <c r="R507" s="28">
        <f>(Fuentes!R1918/Fuentes!R$47)*100000</f>
        <v>83.129372854379568</v>
      </c>
      <c r="S507" s="28">
        <f>(Fuentes!S1918/Fuentes!S$47)*100000</f>
        <v>79.053290833498963</v>
      </c>
      <c r="T507" s="28">
        <f>(Fuentes!T1918/Fuentes!T$47)*100000</f>
        <v>60.455007305738008</v>
      </c>
      <c r="U507" s="28">
        <f>(Fuentes!U1918/Fuentes!U$47)*100000</f>
        <v>63.776721117049973</v>
      </c>
      <c r="V507" s="28">
        <f>(Fuentes!V1918/Fuentes!V$47)*100000</f>
        <v>83.906699072103422</v>
      </c>
    </row>
    <row r="508" spans="1:22" s="14" customFormat="1" ht="12.75" x14ac:dyDescent="0.2">
      <c r="A508" s="28" t="s">
        <v>3198</v>
      </c>
      <c r="B508" s="29" t="s">
        <v>3494</v>
      </c>
      <c r="C508" s="29">
        <f>(Fuentes!C1919/Fuentes!C$47)*100000</f>
        <v>9.9422856772465504</v>
      </c>
      <c r="D508" s="30">
        <f>(Fuentes!D1919/Fuentes!D$47)*100000</f>
        <v>14.923889428650275</v>
      </c>
      <c r="E508" s="35">
        <f>(Fuentes!E1919/Fuentes!E$47)*100000</f>
        <v>18.645441028074814</v>
      </c>
      <c r="F508" s="28">
        <f>(Fuentes!F1919/Fuentes!F$47)*100000</f>
        <v>33.134258596492515</v>
      </c>
      <c r="G508" s="28">
        <f>(Fuentes!G1919/Fuentes!G$47)*100000</f>
        <v>95.066673121662461</v>
      </c>
      <c r="H508" s="28">
        <f>(Fuentes!H1919/Fuentes!H$47)*100000</f>
        <v>36.486583944764341</v>
      </c>
      <c r="I508" s="28">
        <f>(Fuentes!I1919/Fuentes!I$47)*100000</f>
        <v>46.673534867023662</v>
      </c>
      <c r="J508" s="28">
        <f>(Fuentes!J1919/Fuentes!J$47)*100000</f>
        <v>12.349120701135151</v>
      </c>
      <c r="K508" s="28">
        <f>(Fuentes!K1919/Fuentes!K$47)*100000</f>
        <v>6.7210252288213912</v>
      </c>
      <c r="L508" s="28">
        <f>(Fuentes!L1919/Fuentes!L$47)*100000</f>
        <v>5.7502936117817924</v>
      </c>
      <c r="M508" s="28">
        <f>(Fuentes!M1919/Fuentes!M$47)*100000</f>
        <v>6.2418750857430725</v>
      </c>
      <c r="N508" s="36">
        <f>(Fuentes!N1919/Fuentes!N$47)*100000</f>
        <v>7.1208521852632325</v>
      </c>
      <c r="O508" s="28">
        <f>(Fuentes!O1919/Fuentes!O$47)*100000</f>
        <v>7.7378568844679929</v>
      </c>
      <c r="P508" s="28">
        <f>(Fuentes!P1919/Fuentes!P$47)*100000</f>
        <v>6.8955801240949812</v>
      </c>
      <c r="Q508" s="28">
        <f>(Fuentes!Q1919/Fuentes!Q$47)*100000</f>
        <v>7.3536821520687008</v>
      </c>
      <c r="R508" s="28">
        <f>(Fuentes!R1919/Fuentes!R$47)*100000</f>
        <v>7.3672035688720747</v>
      </c>
      <c r="S508" s="28">
        <f>(Fuentes!S1919/Fuentes!S$47)*100000</f>
        <v>5.5823974127121616</v>
      </c>
      <c r="T508" s="28">
        <f>(Fuentes!T1919/Fuentes!T$47)*100000</f>
        <v>4.2647965702142159</v>
      </c>
      <c r="U508" s="28">
        <f>(Fuentes!U1919/Fuentes!U$47)*100000</f>
        <v>3.617545133872154</v>
      </c>
      <c r="V508" s="28">
        <f>(Fuentes!V1919/Fuentes!V$47)*100000</f>
        <v>5.5555566539257919</v>
      </c>
    </row>
    <row r="509" spans="1:22" s="14" customFormat="1" ht="12.75" x14ac:dyDescent="0.2">
      <c r="A509" s="28" t="s">
        <v>3198</v>
      </c>
      <c r="B509" s="29" t="s">
        <v>3495</v>
      </c>
      <c r="C509" s="29">
        <f>(Fuentes!C1920/Fuentes!C$47)*100000</f>
        <v>0</v>
      </c>
      <c r="D509" s="30">
        <f>(Fuentes!D1920/Fuentes!D$47)*100000</f>
        <v>0</v>
      </c>
      <c r="E509" s="35">
        <f>(Fuentes!E1920/Fuentes!E$47)*100000</f>
        <v>0</v>
      </c>
      <c r="F509" s="28">
        <f>(Fuentes!F1920/Fuentes!F$47)*100000</f>
        <v>0</v>
      </c>
      <c r="G509" s="28">
        <f>(Fuentes!G1920/Fuentes!G$47)*100000</f>
        <v>0</v>
      </c>
      <c r="H509" s="36">
        <f>(Fuentes!H1920/Fuentes!H$47)*100000</f>
        <v>7.1170189749215226E-2</v>
      </c>
      <c r="I509" s="28">
        <f>(Fuentes!I1920/Fuentes!I$47)*100000</f>
        <v>4.6743650342537468E-2</v>
      </c>
      <c r="J509" s="28">
        <f>(Fuentes!J1920/Fuentes!J$47)*100000</f>
        <v>2.3039404293162594E-2</v>
      </c>
      <c r="K509" s="28">
        <f>(Fuentes!K1920/Fuentes!K$47)*100000</f>
        <v>0</v>
      </c>
      <c r="L509" s="28">
        <f>(Fuentes!L1920/Fuentes!L$47)*100000</f>
        <v>0</v>
      </c>
      <c r="M509" s="28">
        <f>(Fuentes!M1920/Fuentes!M$47)*100000</f>
        <v>0</v>
      </c>
      <c r="N509" s="28">
        <f>(Fuentes!N1920/Fuentes!N$47)*100000</f>
        <v>0</v>
      </c>
      <c r="O509" s="28">
        <f>(Fuentes!O1920/Fuentes!O$47)*100000</f>
        <v>0</v>
      </c>
      <c r="P509" s="28">
        <f>(Fuentes!P1920/Fuentes!P$47)*100000</f>
        <v>2.1217169612599944E-2</v>
      </c>
      <c r="Q509" s="28">
        <f>(Fuentes!Q1920/Fuentes!Q$47)*100000</f>
        <v>0</v>
      </c>
      <c r="R509" s="28">
        <f>(Fuentes!R1920/Fuentes!R$47)*100000</f>
        <v>0</v>
      </c>
      <c r="S509" s="28">
        <f>(Fuentes!S1920/Fuentes!S$47)*100000</f>
        <v>0</v>
      </c>
      <c r="T509" s="28">
        <f>(Fuentes!T1920/Fuentes!T$47)*100000</f>
        <v>2.0212306019972589E-2</v>
      </c>
      <c r="U509" s="28">
        <f>(Fuentes!U1920/Fuentes!U$47)*100000</f>
        <v>1.9986437203713559E-2</v>
      </c>
      <c r="V509" s="28">
        <f>(Fuentes!V1920/Fuentes!V$47)*100000</f>
        <v>0</v>
      </c>
    </row>
    <row r="510" spans="1:22" s="14" customFormat="1" ht="12.75" x14ac:dyDescent="0.2">
      <c r="A510" s="28" t="s">
        <v>3198</v>
      </c>
      <c r="B510" s="29" t="s">
        <v>3496</v>
      </c>
      <c r="C510" s="29">
        <f>(Fuentes!C1921/Fuentes!C$47)*100000</f>
        <v>8.9609691688429933</v>
      </c>
      <c r="D510" s="30">
        <f>(Fuentes!D1921/Fuentes!D$47)*100000</f>
        <v>11.357332802481311</v>
      </c>
      <c r="E510" s="35">
        <f>(Fuentes!E1921/Fuentes!E$47)*100000</f>
        <v>10.540889327871627</v>
      </c>
      <c r="F510" s="28">
        <f>(Fuentes!F1921/Fuentes!F$47)*100000</f>
        <v>11.574966260074564</v>
      </c>
      <c r="G510" s="28">
        <f>(Fuentes!G1921/Fuentes!G$47)*100000</f>
        <v>14.668255366377613</v>
      </c>
      <c r="H510" s="28">
        <f>(Fuentes!H1921/Fuentes!H$47)*100000</f>
        <v>13.712123225015469</v>
      </c>
      <c r="I510" s="28">
        <f>(Fuentes!I1921/Fuentes!I$47)*100000</f>
        <v>15.378660962694829</v>
      </c>
      <c r="J510" s="28">
        <f>(Fuentes!J1921/Fuentes!J$47)*100000</f>
        <v>19.79084828782667</v>
      </c>
      <c r="K510" s="28">
        <f>(Fuentes!K1921/Fuentes!K$47)*100000</f>
        <v>17.256686398325193</v>
      </c>
      <c r="L510" s="28">
        <f>(Fuentes!L1921/Fuentes!L$47)*100000</f>
        <v>19.689721316606917</v>
      </c>
      <c r="M510" s="28">
        <f>(Fuentes!M1921/Fuentes!M$47)*100000</f>
        <v>21.15179578525656</v>
      </c>
      <c r="N510" s="36">
        <f>(Fuentes!N1921/Fuentes!N$47)*100000</f>
        <v>21.536767006805313</v>
      </c>
      <c r="O510" s="28">
        <f>(Fuentes!O1921/Fuentes!O$47)*100000</f>
        <v>17.173743474138686</v>
      </c>
      <c r="P510" s="28">
        <f>(Fuentes!P1921/Fuentes!P$47)*100000</f>
        <v>34.308163263574109</v>
      </c>
      <c r="Q510" s="28">
        <f>(Fuentes!Q1921/Fuentes!Q$47)*100000</f>
        <v>32.473525172952947</v>
      </c>
      <c r="R510" s="28">
        <f>(Fuentes!R1921/Fuentes!R$47)*100000</f>
        <v>32.055613281412484</v>
      </c>
      <c r="S510" s="28">
        <f>(Fuentes!S1921/Fuentes!S$47)*100000</f>
        <v>36.684325854965635</v>
      </c>
      <c r="T510" s="28">
        <f>(Fuentes!T1921/Fuentes!T$47)*100000</f>
        <v>27.650434635322501</v>
      </c>
      <c r="U510" s="28">
        <f>(Fuentes!U1921/Fuentes!U$47)*100000</f>
        <v>30.919018354144878</v>
      </c>
      <c r="V510" s="28">
        <f>(Fuentes!V1921/Fuentes!V$47)*100000</f>
        <v>45.927253050069801</v>
      </c>
    </row>
    <row r="511" spans="1:22" s="14" customFormat="1" ht="12.75" x14ac:dyDescent="0.2">
      <c r="A511" s="28" t="s">
        <v>3198</v>
      </c>
      <c r="B511" s="29" t="s">
        <v>3497</v>
      </c>
      <c r="C511" s="29">
        <f>(Fuentes!C1922/Fuentes!C$47)*100000</f>
        <v>0</v>
      </c>
      <c r="D511" s="30">
        <f>(Fuentes!D1922/Fuentes!D$47)*100000</f>
        <v>0</v>
      </c>
      <c r="E511" s="35">
        <f>(Fuentes!E1922/Fuentes!E$47)*100000</f>
        <v>0</v>
      </c>
      <c r="F511" s="28">
        <f>(Fuentes!F1922/Fuentes!F$47)*100000</f>
        <v>0</v>
      </c>
      <c r="G511" s="28">
        <f>(Fuentes!G1922/Fuentes!G$47)*100000</f>
        <v>0</v>
      </c>
      <c r="H511" s="36">
        <f>(Fuentes!H1922/Fuentes!H$47)*100000</f>
        <v>0</v>
      </c>
      <c r="I511" s="28">
        <f>(Fuentes!I1922/Fuentes!I$47)*100000</f>
        <v>0</v>
      </c>
      <c r="J511" s="28">
        <f>(Fuentes!J1922/Fuentes!J$47)*100000</f>
        <v>6.9118212879487786E-2</v>
      </c>
      <c r="K511" s="28">
        <f>(Fuentes!K1922/Fuentes!K$47)*100000</f>
        <v>4.5412332627171564E-2</v>
      </c>
      <c r="L511" s="28">
        <f>(Fuentes!L1922/Fuentes!L$47)*100000</f>
        <v>0.89498733257304164</v>
      </c>
      <c r="M511" s="28">
        <f>(Fuentes!M1922/Fuentes!M$47)*100000</f>
        <v>0</v>
      </c>
      <c r="N511" s="28">
        <f>(Fuentes!N1922/Fuentes!N$47)*100000</f>
        <v>2.1776306376951781E-2</v>
      </c>
      <c r="O511" s="28">
        <f>(Fuentes!O1922/Fuentes!O$47)*100000</f>
        <v>4.2988093802599964E-2</v>
      </c>
      <c r="P511" s="28">
        <f>(Fuentes!P1922/Fuentes!P$47)*100000</f>
        <v>2.1217169612599944E-2</v>
      </c>
      <c r="Q511" s="28">
        <f>(Fuentes!Q1922/Fuentes!Q$47)*100000</f>
        <v>2.095066140190513E-2</v>
      </c>
      <c r="R511" s="28">
        <f>(Fuentes!R1922/Fuentes!R$47)*100000</f>
        <v>0</v>
      </c>
      <c r="S511" s="28">
        <f>(Fuentes!S1922/Fuentes!S$47)*100000</f>
        <v>4.0896684342213642E-2</v>
      </c>
      <c r="T511" s="28">
        <f>(Fuentes!T1922/Fuentes!T$47)*100000</f>
        <v>0</v>
      </c>
      <c r="U511" s="28">
        <f>(Fuentes!U1922/Fuentes!U$47)*100000</f>
        <v>1.9986437203713559E-2</v>
      </c>
      <c r="V511" s="28">
        <f>(Fuentes!V1922/Fuentes!V$47)*100000</f>
        <v>3.9541328497692464E-2</v>
      </c>
    </row>
    <row r="512" spans="1:22" s="14" customFormat="1" ht="12.75" x14ac:dyDescent="0.2">
      <c r="A512" s="28" t="s">
        <v>3198</v>
      </c>
      <c r="B512" s="29" t="s">
        <v>3498</v>
      </c>
      <c r="C512" s="29">
        <f>(Fuentes!C1923/Fuentes!C$47)*100000</f>
        <v>22.854344998345965</v>
      </c>
      <c r="D512" s="30">
        <f>(Fuentes!D1923/Fuentes!D$47)*100000</f>
        <v>16.972762384109043</v>
      </c>
      <c r="E512" s="35">
        <f>(Fuentes!E1923/Fuentes!E$47)*100000</f>
        <v>15.985358108069475</v>
      </c>
      <c r="F512" s="28">
        <f>(Fuentes!F1923/Fuentes!F$47)*100000</f>
        <v>15.906401837311769</v>
      </c>
      <c r="G512" s="28">
        <f>(Fuentes!G1923/Fuentes!G$47)*100000</f>
        <v>17.606723600692998</v>
      </c>
      <c r="H512" s="28">
        <f>(Fuentes!H1923/Fuentes!H$47)*100000</f>
        <v>14.96946324391827</v>
      </c>
      <c r="I512" s="28">
        <f>(Fuentes!I1923/Fuentes!I$47)*100000</f>
        <v>16.687483172285877</v>
      </c>
      <c r="J512" s="28">
        <f>(Fuentes!J1923/Fuentes!J$47)*100000</f>
        <v>10.321653123336844</v>
      </c>
      <c r="K512" s="28">
        <f>(Fuentes!K1923/Fuentes!K$47)*100000</f>
        <v>7.2432670540338639</v>
      </c>
      <c r="L512" s="28">
        <f>(Fuentes!L1923/Fuentes!L$47)*100000</f>
        <v>5.1685518456093149</v>
      </c>
      <c r="M512" s="28">
        <f>(Fuentes!M1923/Fuentes!M$47)*100000</f>
        <v>9.9914113563307847</v>
      </c>
      <c r="N512" s="36">
        <f>(Fuentes!N1923/Fuentes!N$47)*100000</f>
        <v>4.5730243391598746</v>
      </c>
      <c r="O512" s="28">
        <f>(Fuentes!O1923/Fuentes!O$47)*100000</f>
        <v>1.2036666264727989</v>
      </c>
      <c r="P512" s="28">
        <f>(Fuentes!P1923/Fuentes!P$47)*100000</f>
        <v>4.6677773147719881</v>
      </c>
      <c r="Q512" s="28">
        <f>(Fuentes!Q1923/Fuentes!Q$47)*100000</f>
        <v>3.3521058243048203</v>
      </c>
      <c r="R512" s="28">
        <f>(Fuentes!R1923/Fuentes!R$47)*100000</f>
        <v>0.93124764213270617</v>
      </c>
      <c r="S512" s="28">
        <f>(Fuentes!S1923/Fuentes!S$47)*100000</f>
        <v>1.3495905832930499</v>
      </c>
      <c r="T512" s="28">
        <f>(Fuentes!T1923/Fuentes!T$47)*100000</f>
        <v>1.960593683937341</v>
      </c>
      <c r="U512" s="28">
        <f>(Fuentes!U1923/Fuentes!U$47)*100000</f>
        <v>1.9386844087602153</v>
      </c>
      <c r="V512" s="28">
        <f>(Fuentes!V1923/Fuentes!V$47)*100000</f>
        <v>1.5816531399076985</v>
      </c>
    </row>
    <row r="513" spans="1:22" s="14" customFormat="1" ht="12.75" x14ac:dyDescent="0.2">
      <c r="A513" s="28" t="s">
        <v>3198</v>
      </c>
      <c r="B513" s="29" t="s">
        <v>3499</v>
      </c>
      <c r="C513" s="29">
        <f>(Fuentes!C1924/Fuentes!C$47)*100000</f>
        <v>1.6269194744585265</v>
      </c>
      <c r="D513" s="30">
        <f>(Fuentes!D1924/Fuentes!D$47)*100000</f>
        <v>0.9359049302712884</v>
      </c>
      <c r="E513" s="35">
        <f>(Fuentes!E1924/Fuentes!E$47)*100000</f>
        <v>1.0192841095347565</v>
      </c>
      <c r="F513" s="28">
        <f>(Fuentes!F1924/Fuentes!F$47)*100000</f>
        <v>1.6395829586152131</v>
      </c>
      <c r="G513" s="28">
        <f>(Fuentes!G1924/Fuentes!G$47)*100000</f>
        <v>1.300633480762547</v>
      </c>
      <c r="H513" s="36">
        <f>(Fuentes!H1924/Fuentes!H$47)*100000</f>
        <v>4.9344664892789227</v>
      </c>
      <c r="I513" s="28">
        <f>(Fuentes!I1924/Fuentes!I$47)*100000</f>
        <v>6.263649145900021</v>
      </c>
      <c r="J513" s="28">
        <f>(Fuentes!J1924/Fuentes!J$47)*100000</f>
        <v>7.464766990984681</v>
      </c>
      <c r="K513" s="28">
        <f>(Fuentes!K1924/Fuentes!K$47)*100000</f>
        <v>9.2414096896294122</v>
      </c>
      <c r="L513" s="28">
        <f>(Fuentes!L1924/Fuentes!L$47)*100000</f>
        <v>15.93077451980014</v>
      </c>
      <c r="M513" s="28">
        <f>(Fuentes!M1924/Fuentes!M$47)*100000</f>
        <v>10.96187956754172</v>
      </c>
      <c r="N513" s="28">
        <f>(Fuentes!N1924/Fuentes!N$47)*100000</f>
        <v>12.804468149647647</v>
      </c>
      <c r="O513" s="28">
        <f>(Fuentes!O1924/Fuentes!O$47)*100000</f>
        <v>11.133916294873391</v>
      </c>
      <c r="P513" s="28">
        <f>(Fuentes!P1924/Fuentes!P$47)*100000</f>
        <v>9.5052919864447745</v>
      </c>
      <c r="Q513" s="28">
        <f>(Fuentes!Q1924/Fuentes!Q$47)*100000</f>
        <v>17.368098302179352</v>
      </c>
      <c r="R513" s="28">
        <f>(Fuentes!R1924/Fuentes!R$47)*100000</f>
        <v>8.2570624269099948</v>
      </c>
      <c r="S513" s="28">
        <f>(Fuentes!S1924/Fuentes!S$47)*100000</f>
        <v>5.3165689644877734</v>
      </c>
      <c r="T513" s="28">
        <f>(Fuentes!T1924/Fuentes!T$47)*100000</f>
        <v>2.0212306019972588</v>
      </c>
      <c r="U513" s="28">
        <f>(Fuentes!U1924/Fuentes!U$47)*100000</f>
        <v>1.5389556646859439</v>
      </c>
      <c r="V513" s="28">
        <f>(Fuentes!V1924/Fuentes!V$47)*100000</f>
        <v>1.6211944684053912</v>
      </c>
    </row>
    <row r="514" spans="1:22" s="14" customFormat="1" ht="12.75" x14ac:dyDescent="0.2">
      <c r="A514" s="28" t="s">
        <v>3198</v>
      </c>
      <c r="B514" s="29" t="s">
        <v>3500</v>
      </c>
      <c r="C514" s="29">
        <f>(Fuentes!C1925/Fuentes!C$47)*100000</f>
        <v>1.5752712371741284</v>
      </c>
      <c r="D514" s="30">
        <f>(Fuentes!D1925/Fuentes!D$47)*100000</f>
        <v>1.1635574808778182</v>
      </c>
      <c r="E514" s="35">
        <f>(Fuentes!E1925/Fuentes!E$47)*100000</f>
        <v>1.466774694208552</v>
      </c>
      <c r="F514" s="28">
        <f>(Fuentes!F1925/Fuentes!F$47)*100000</f>
        <v>1.0767410474487968</v>
      </c>
      <c r="G514" s="28">
        <f>(Fuentes!G1925/Fuentes!G$47)*100000</f>
        <v>0.72257415597919272</v>
      </c>
      <c r="H514" s="28">
        <f>(Fuentes!H1925/Fuentes!H$47)*100000</f>
        <v>0.59308491457679358</v>
      </c>
      <c r="I514" s="28">
        <f>(Fuentes!I1925/Fuentes!I$47)*100000</f>
        <v>0.28046190205522481</v>
      </c>
      <c r="J514" s="28">
        <f>(Fuentes!J1925/Fuentes!J$47)*100000</f>
        <v>0.27647285151795115</v>
      </c>
      <c r="K514" s="28">
        <f>(Fuentes!K1925/Fuentes!K$47)*100000</f>
        <v>0.27247399576302939</v>
      </c>
      <c r="L514" s="28">
        <f>(Fuentes!L1925/Fuentes!L$47)*100000</f>
        <v>0.6041164494868031</v>
      </c>
      <c r="M514" s="28">
        <f>(Fuentes!M1925/Fuentes!M$47)*100000</f>
        <v>0.94841211550159765</v>
      </c>
      <c r="N514" s="36">
        <f>(Fuentes!N1925/Fuentes!N$47)*100000</f>
        <v>0.95815748058587846</v>
      </c>
      <c r="O514" s="28">
        <f>(Fuentes!O1925/Fuentes!O$47)*100000</f>
        <v>1.0961963919662989</v>
      </c>
      <c r="P514" s="28">
        <f>(Fuentes!P1925/Fuentes!P$47)*100000</f>
        <v>0.63651508837799831</v>
      </c>
      <c r="Q514" s="28">
        <f>(Fuentes!Q1925/Fuentes!Q$47)*100000</f>
        <v>0.94277976308573086</v>
      </c>
      <c r="R514" s="28">
        <f>(Fuentes!R1925/Fuentes!R$47)*100000</f>
        <v>0.8898588580379192</v>
      </c>
      <c r="S514" s="28">
        <f>(Fuentes!S1925/Fuentes!S$47)*100000</f>
        <v>0.94062373987091374</v>
      </c>
      <c r="T514" s="28">
        <f>(Fuentes!T1925/Fuentes!T$47)*100000</f>
        <v>0.9904029949786568</v>
      </c>
      <c r="U514" s="28">
        <f>(Fuentes!U1925/Fuentes!U$47)*100000</f>
        <v>0.81944392535225585</v>
      </c>
      <c r="V514" s="28">
        <f>(Fuentes!V1925/Fuentes!V$47)*100000</f>
        <v>0.57334926321654078</v>
      </c>
    </row>
    <row r="515" spans="1:22" s="14" customFormat="1" ht="12.75" x14ac:dyDescent="0.2">
      <c r="A515" s="28" t="s">
        <v>3198</v>
      </c>
      <c r="B515" s="29" t="s">
        <v>3501</v>
      </c>
      <c r="C515" s="29">
        <f>(Fuentes!C1926/Fuentes!C$47)*100000</f>
        <v>0.28406530506418715</v>
      </c>
      <c r="D515" s="30">
        <f>(Fuentes!D1926/Fuentes!D$47)*100000</f>
        <v>0.20235782276135969</v>
      </c>
      <c r="E515" s="35">
        <f>(Fuentes!E1926/Fuentes!E$47)*100000</f>
        <v>1.1187264616844887</v>
      </c>
      <c r="F515" s="28">
        <f>(Fuentes!F1926/Fuentes!F$47)*100000</f>
        <v>0.66072746093448886</v>
      </c>
      <c r="G515" s="28">
        <f>(Fuentes!G1926/Fuentes!G$47)*100000</f>
        <v>0.55397351958404784</v>
      </c>
      <c r="H515" s="36">
        <f>(Fuentes!H1926/Fuentes!H$47)*100000</f>
        <v>0.16606377608150222</v>
      </c>
      <c r="I515" s="28">
        <f>(Fuentes!I1926/Fuentes!I$47)*100000</f>
        <v>0.25709007688395608</v>
      </c>
      <c r="J515" s="28">
        <f>(Fuentes!J1926/Fuentes!J$47)*100000</f>
        <v>0.23039404293162596</v>
      </c>
      <c r="K515" s="28">
        <f>(Fuentes!K1926/Fuentes!K$47)*100000</f>
        <v>0.22706166313585779</v>
      </c>
      <c r="L515" s="28">
        <f>(Fuentes!L1926/Fuentes!L$47)*100000</f>
        <v>0.31324556640056456</v>
      </c>
      <c r="M515" s="28">
        <f>(Fuentes!M1926/Fuentes!M$47)*100000</f>
        <v>6.6168287128018421E-2</v>
      </c>
      <c r="N515" s="28">
        <f>(Fuentes!N1926/Fuentes!N$47)*100000</f>
        <v>6.5328919130855354E-2</v>
      </c>
      <c r="O515" s="28">
        <f>(Fuentes!O1926/Fuentes!O$47)*100000</f>
        <v>8.5976187605199927E-2</v>
      </c>
      <c r="P515" s="28">
        <f>(Fuentes!P1926/Fuentes!P$47)*100000</f>
        <v>0.1485201872881996</v>
      </c>
      <c r="Q515" s="28">
        <f>(Fuentes!Q1926/Fuentes!Q$47)*100000</f>
        <v>0.10475330700952563</v>
      </c>
      <c r="R515" s="28">
        <f>(Fuentes!R1926/Fuentes!R$47)*100000</f>
        <v>6.2083176142180403E-2</v>
      </c>
      <c r="S515" s="28">
        <f>(Fuentes!S1926/Fuentes!S$47)*100000</f>
        <v>4.0896684342213642E-2</v>
      </c>
      <c r="T515" s="28">
        <f>(Fuentes!T1926/Fuentes!T$47)*100000</f>
        <v>6.0636918059917756E-2</v>
      </c>
      <c r="U515" s="28">
        <f>(Fuentes!U1926/Fuentes!U$47)*100000</f>
        <v>9.9932186018567806E-2</v>
      </c>
      <c r="V515" s="28">
        <f>(Fuentes!V1926/Fuentes!V$47)*100000</f>
        <v>0.27678929948384728</v>
      </c>
    </row>
    <row r="516" spans="1:22" s="14" customFormat="1" ht="12.75" x14ac:dyDescent="0.2">
      <c r="A516" s="28" t="s">
        <v>3198</v>
      </c>
      <c r="B516" s="29" t="s">
        <v>3502</v>
      </c>
      <c r="C516" s="29">
        <f>(Fuentes!C1927/Fuentes!C$47)*100000</f>
        <v>16.32084298186966</v>
      </c>
      <c r="D516" s="30">
        <f>(Fuentes!D1927/Fuentes!D$47)*100000</f>
        <v>13.633858308546607</v>
      </c>
      <c r="E516" s="35">
        <f>(Fuentes!E1927/Fuentes!E$47)*100000</f>
        <v>18.720022792187113</v>
      </c>
      <c r="F516" s="28">
        <f>(Fuentes!F1927/Fuentes!F$47)*100000</f>
        <v>37.490165561171736</v>
      </c>
      <c r="G516" s="28">
        <f>(Fuentes!G1927/Fuentes!G$47)*100000</f>
        <v>28.686193992373951</v>
      </c>
      <c r="H516" s="28">
        <f>(Fuentes!H1927/Fuentes!H$47)*100000</f>
        <v>16.440313832068718</v>
      </c>
      <c r="I516" s="28">
        <f>(Fuentes!I1927/Fuentes!I$47)*100000</f>
        <v>11.335335208065336</v>
      </c>
      <c r="J516" s="28">
        <f>(Fuentes!J1927/Fuentes!J$47)*100000</f>
        <v>11.888332615271899</v>
      </c>
      <c r="K516" s="28">
        <f>(Fuentes!K1927/Fuentes!K$47)*100000</f>
        <v>20.435549682227201</v>
      </c>
      <c r="L516" s="28">
        <f>(Fuentes!L1927/Fuentes!L$47)*100000</f>
        <v>21.770566864839235</v>
      </c>
      <c r="M516" s="28">
        <f>(Fuentes!M1927/Fuentes!M$47)*100000</f>
        <v>20.115159286917603</v>
      </c>
      <c r="N516" s="36">
        <f>(Fuentes!N1927/Fuentes!N$47)*100000</f>
        <v>20.622162138973337</v>
      </c>
      <c r="O516" s="28">
        <f>(Fuentes!O1927/Fuentes!O$47)*100000</f>
        <v>22.396796871154582</v>
      </c>
      <c r="P516" s="28">
        <f>(Fuentes!P1927/Fuentes!P$47)*100000</f>
        <v>17.079821538142955</v>
      </c>
      <c r="Q516" s="28">
        <f>(Fuentes!Q1927/Fuentes!Q$47)*100000</f>
        <v>19.044151214331759</v>
      </c>
      <c r="R516" s="28">
        <f>(Fuentes!R1927/Fuentes!R$47)*100000</f>
        <v>18.873285547222842</v>
      </c>
      <c r="S516" s="28">
        <f>(Fuentes!S1927/Fuentes!S$47)*100000</f>
        <v>14.007114387208173</v>
      </c>
      <c r="T516" s="28">
        <f>(Fuentes!T1927/Fuentes!T$47)*100000</f>
        <v>10.651885272525554</v>
      </c>
      <c r="U516" s="28">
        <f>(Fuentes!U1927/Fuentes!U$47)*100000</f>
        <v>12.41157750350612</v>
      </c>
      <c r="V516" s="28">
        <f>(Fuentes!V1927/Fuentes!V$47)*100000</f>
        <v>16.884147268514685</v>
      </c>
    </row>
    <row r="517" spans="1:22" s="14" customFormat="1" ht="12.75" x14ac:dyDescent="0.2">
      <c r="A517" s="28" t="s">
        <v>3198</v>
      </c>
      <c r="B517" s="29" t="s">
        <v>3503</v>
      </c>
      <c r="C517" s="29">
        <f>(Fuentes!C1928/Fuentes!C$47)*100000</f>
        <v>0</v>
      </c>
      <c r="D517" s="30">
        <f>(Fuentes!D1928/Fuentes!D$47)*100000</f>
        <v>0</v>
      </c>
      <c r="E517" s="35">
        <f>(Fuentes!E1928/Fuentes!E$47)*100000</f>
        <v>0</v>
      </c>
      <c r="F517" s="28">
        <f>(Fuentes!F1928/Fuentes!F$47)*100000</f>
        <v>0</v>
      </c>
      <c r="G517" s="28">
        <f>(Fuentes!G1928/Fuentes!G$47)*100000</f>
        <v>0</v>
      </c>
      <c r="H517" s="36">
        <f>(Fuentes!H1928/Fuentes!H$47)*100000</f>
        <v>0</v>
      </c>
      <c r="I517" s="28">
        <f>(Fuentes!I1928/Fuentes!I$47)*100000</f>
        <v>0</v>
      </c>
      <c r="J517" s="28">
        <f>(Fuentes!J1928/Fuentes!J$47)*100000</f>
        <v>2.3039404293162594E-2</v>
      </c>
      <c r="K517" s="28">
        <f>(Fuentes!K1928/Fuentes!K$47)*100000</f>
        <v>2.2706166313585782E-2</v>
      </c>
      <c r="L517" s="28">
        <f>(Fuentes!L1928/Fuentes!L$47)*100000</f>
        <v>0</v>
      </c>
      <c r="M517" s="28">
        <f>(Fuentes!M1928/Fuentes!M$47)*100000</f>
        <v>0</v>
      </c>
      <c r="N517" s="28">
        <f>(Fuentes!N1928/Fuentes!N$47)*100000</f>
        <v>0</v>
      </c>
      <c r="O517" s="28">
        <f>(Fuentes!O1928/Fuentes!O$47)*100000</f>
        <v>0</v>
      </c>
      <c r="P517" s="28">
        <f>(Fuentes!P1928/Fuentes!P$47)*100000</f>
        <v>0</v>
      </c>
      <c r="Q517" s="28">
        <f>(Fuentes!Q1928/Fuentes!Q$47)*100000</f>
        <v>0</v>
      </c>
      <c r="R517" s="28">
        <f>(Fuentes!R1928/Fuentes!R$47)*100000</f>
        <v>0</v>
      </c>
      <c r="S517" s="28">
        <f>(Fuentes!S1928/Fuentes!S$47)*100000</f>
        <v>0</v>
      </c>
      <c r="T517" s="28">
        <f>(Fuentes!T1928/Fuentes!T$47)*100000</f>
        <v>0</v>
      </c>
      <c r="U517" s="28">
        <f>(Fuentes!U1928/Fuentes!U$47)*100000</f>
        <v>0</v>
      </c>
      <c r="V517" s="28">
        <f>(Fuentes!V1928/Fuentes!V$47)*100000</f>
        <v>0</v>
      </c>
    </row>
    <row r="518" spans="1:22" s="14" customFormat="1" ht="12.75" x14ac:dyDescent="0.2">
      <c r="A518" s="28" t="s">
        <v>3198</v>
      </c>
      <c r="B518" s="29" t="s">
        <v>3504</v>
      </c>
      <c r="C518" s="29">
        <f>(Fuentes!C1929/Fuentes!C$47)*100000</f>
        <v>0.49065825420177778</v>
      </c>
      <c r="D518" s="30">
        <f>(Fuentes!D1929/Fuentes!D$47)*100000</f>
        <v>0.55648401259373914</v>
      </c>
      <c r="E518" s="35">
        <f>(Fuentes!E1929/Fuentes!E$47)*100000</f>
        <v>0.49721176074866175</v>
      </c>
      <c r="F518" s="28">
        <f>(Fuentes!F1929/Fuentes!F$47)*100000</f>
        <v>0.39154219907228971</v>
      </c>
      <c r="G518" s="28">
        <f>(Fuentes!G1929/Fuentes!G$47)*100000</f>
        <v>9.6343220797225709E-2</v>
      </c>
      <c r="H518" s="28">
        <f>(Fuentes!H1929/Fuentes!H$47)*100000</f>
        <v>0.35585094874607615</v>
      </c>
      <c r="I518" s="28">
        <f>(Fuentes!I1929/Fuentes!I$47)*100000</f>
        <v>0.67778292996679335</v>
      </c>
      <c r="J518" s="28">
        <f>(Fuentes!J1929/Fuentes!J$47)*100000</f>
        <v>0.50686689444957711</v>
      </c>
      <c r="K518" s="28">
        <f>(Fuentes!K1929/Fuentes!K$47)*100000</f>
        <v>0.38600482733095826</v>
      </c>
      <c r="L518" s="28">
        <f>(Fuentes!L1929/Fuentes!L$47)*100000</f>
        <v>0.38036961634354266</v>
      </c>
      <c r="M518" s="28">
        <f>(Fuentes!M1929/Fuentes!M$47)*100000</f>
        <v>0.28672924422141322</v>
      </c>
      <c r="N518" s="36">
        <f>(Fuentes!N1929/Fuentes!N$47)*100000</f>
        <v>0.15243414463866248</v>
      </c>
      <c r="O518" s="28">
        <f>(Fuentes!O1929/Fuentes!O$47)*100000</f>
        <v>0.32241070351949969</v>
      </c>
      <c r="P518" s="28">
        <f>(Fuentes!P1929/Fuentes!P$47)*100000</f>
        <v>0.1909545265133995</v>
      </c>
      <c r="Q518" s="28">
        <f>(Fuentes!Q1929/Fuentes!Q$47)*100000</f>
        <v>0.33521058243048207</v>
      </c>
      <c r="R518" s="28">
        <f>(Fuentes!R1929/Fuentes!R$47)*100000</f>
        <v>0.14486074433175428</v>
      </c>
      <c r="S518" s="28">
        <f>(Fuentes!S1929/Fuentes!S$47)*100000</f>
        <v>0.16358673736885457</v>
      </c>
      <c r="T518" s="28">
        <f>(Fuentes!T1929/Fuentes!T$47)*100000</f>
        <v>0.10106153009986293</v>
      </c>
      <c r="U518" s="28">
        <f>(Fuentes!U1929/Fuentes!U$47)*100000</f>
        <v>0.17987793483342204</v>
      </c>
      <c r="V518" s="28">
        <f>(Fuentes!V1929/Fuentes!V$47)*100000</f>
        <v>0.1779359782396161</v>
      </c>
    </row>
    <row r="519" spans="1:22" s="14" customFormat="1" ht="12.75" x14ac:dyDescent="0.2">
      <c r="A519" s="28" t="s">
        <v>3198</v>
      </c>
      <c r="B519" s="29" t="s">
        <v>3505</v>
      </c>
      <c r="C519" s="29">
        <f>(Fuentes!C1930/Fuentes!C$47)*100000</f>
        <v>0</v>
      </c>
      <c r="D519" s="30">
        <f>(Fuentes!D1930/Fuentes!D$47)*100000</f>
        <v>0</v>
      </c>
      <c r="E519" s="35">
        <f>(Fuentes!E1930/Fuentes!E$47)*100000</f>
        <v>0</v>
      </c>
      <c r="F519" s="28">
        <f>(Fuentes!F1930/Fuentes!F$47)*100000</f>
        <v>0</v>
      </c>
      <c r="G519" s="28">
        <f>(Fuentes!G1930/Fuentes!G$47)*100000</f>
        <v>2.4085805199306427E-2</v>
      </c>
      <c r="H519" s="36">
        <f>(Fuentes!H1930/Fuentes!H$47)*100000</f>
        <v>4.7446793166143482E-2</v>
      </c>
      <c r="I519" s="28">
        <f>(Fuentes!I1930/Fuentes!I$47)*100000</f>
        <v>0</v>
      </c>
      <c r="J519" s="28">
        <f>(Fuentes!J1930/Fuentes!J$47)*100000</f>
        <v>0</v>
      </c>
      <c r="K519" s="28">
        <f>(Fuentes!K1930/Fuentes!K$47)*100000</f>
        <v>6.8118498940757347E-2</v>
      </c>
      <c r="L519" s="28">
        <f>(Fuentes!L1930/Fuentes!L$47)*100000</f>
        <v>4.4749366628652081E-2</v>
      </c>
      <c r="M519" s="28">
        <f>(Fuentes!M1930/Fuentes!M$47)*100000</f>
        <v>4.4112191418678955E-2</v>
      </c>
      <c r="N519" s="28">
        <f>(Fuentes!N1930/Fuentes!N$47)*100000</f>
        <v>4.3552612753903562E-2</v>
      </c>
      <c r="O519" s="28">
        <f>(Fuentes!O1930/Fuentes!O$47)*100000</f>
        <v>0</v>
      </c>
      <c r="P519" s="28">
        <f>(Fuentes!P1930/Fuentes!P$47)*100000</f>
        <v>2.1217169612599944E-2</v>
      </c>
      <c r="Q519" s="28">
        <f>(Fuentes!Q1930/Fuentes!Q$47)*100000</f>
        <v>2.095066140190513E-2</v>
      </c>
      <c r="R519" s="28">
        <f>(Fuentes!R1930/Fuentes!R$47)*100000</f>
        <v>0</v>
      </c>
      <c r="S519" s="28">
        <f>(Fuentes!S1930/Fuentes!S$47)*100000</f>
        <v>0</v>
      </c>
      <c r="T519" s="28">
        <f>(Fuentes!T1930/Fuentes!T$47)*100000</f>
        <v>0</v>
      </c>
      <c r="U519" s="28">
        <f>(Fuentes!U1930/Fuentes!U$47)*100000</f>
        <v>0</v>
      </c>
      <c r="V519" s="28">
        <f>(Fuentes!V1930/Fuentes!V$47)*100000</f>
        <v>0</v>
      </c>
    </row>
    <row r="520" spans="1:22" s="14" customFormat="1" ht="12.75" x14ac:dyDescent="0.2">
      <c r="A520" s="28" t="s">
        <v>3198</v>
      </c>
      <c r="B520" s="29" t="s">
        <v>3506</v>
      </c>
      <c r="C520" s="29">
        <f>(Fuentes!C1931/Fuentes!C$47)*100000</f>
        <v>0</v>
      </c>
      <c r="D520" s="30">
        <f>(Fuentes!D1931/Fuentes!D$47)*100000</f>
        <v>0</v>
      </c>
      <c r="E520" s="35">
        <f>(Fuentes!E1931/Fuentes!E$47)*100000</f>
        <v>0</v>
      </c>
      <c r="F520" s="28">
        <f>(Fuentes!F1931/Fuentes!F$47)*100000</f>
        <v>0</v>
      </c>
      <c r="G520" s="28">
        <f>(Fuentes!G1931/Fuentes!G$47)*100000</f>
        <v>0</v>
      </c>
      <c r="H520" s="28">
        <f>(Fuentes!H1931/Fuentes!H$47)*100000</f>
        <v>0</v>
      </c>
      <c r="I520" s="28">
        <f>(Fuentes!I1931/Fuentes!I$47)*100000</f>
        <v>0.11685912585634367</v>
      </c>
      <c r="J520" s="28">
        <f>(Fuentes!J1931/Fuentes!J$47)*100000</f>
        <v>0.13823642575897557</v>
      </c>
      <c r="K520" s="28">
        <f>(Fuentes!K1931/Fuentes!K$47)*100000</f>
        <v>0.18164933050868626</v>
      </c>
      <c r="L520" s="28">
        <f>(Fuentes!L1931/Fuentes!L$47)*100000</f>
        <v>0.13424809988595623</v>
      </c>
      <c r="M520" s="28">
        <f>(Fuentes!M1931/Fuentes!M$47)*100000</f>
        <v>0.13233657425603684</v>
      </c>
      <c r="N520" s="36">
        <f>(Fuentes!N1931/Fuentes!N$47)*100000</f>
        <v>2.1776306376951781E-2</v>
      </c>
      <c r="O520" s="28">
        <f>(Fuentes!O1931/Fuentes!O$47)*100000</f>
        <v>0.12896428140779989</v>
      </c>
      <c r="P520" s="28">
        <f>(Fuentes!P1931/Fuentes!P$47)*100000</f>
        <v>0.10608584806299971</v>
      </c>
      <c r="Q520" s="28">
        <f>(Fuentes!Q1931/Fuentes!Q$47)*100000</f>
        <v>0.16760529121524104</v>
      </c>
      <c r="R520" s="28">
        <f>(Fuentes!R1931/Fuentes!R$47)*100000</f>
        <v>0.10347196023696735</v>
      </c>
      <c r="S520" s="28">
        <f>(Fuentes!S1931/Fuentes!S$47)*100000</f>
        <v>0.1022417108555341</v>
      </c>
      <c r="T520" s="28">
        <f>(Fuentes!T1931/Fuentes!T$47)*100000</f>
        <v>0</v>
      </c>
      <c r="U520" s="28">
        <f>(Fuentes!U1931/Fuentes!U$47)*100000</f>
        <v>0</v>
      </c>
      <c r="V520" s="28">
        <f>(Fuentes!V1931/Fuentes!V$47)*100000</f>
        <v>0</v>
      </c>
    </row>
    <row r="521" spans="1:22" s="14" customFormat="1" ht="12.75" x14ac:dyDescent="0.2">
      <c r="A521" s="28" t="s">
        <v>3198</v>
      </c>
      <c r="B521" s="29" t="s">
        <v>3507</v>
      </c>
      <c r="C521" s="29">
        <f>(Fuentes!C1932/Fuentes!C$47)*100000</f>
        <v>59.447121114341705</v>
      </c>
      <c r="D521" s="30">
        <f>(Fuentes!D1932/Fuentes!D$47)*100000</f>
        <v>32.503725281043394</v>
      </c>
      <c r="E521" s="35">
        <f>(Fuentes!E1932/Fuentes!E$47)*100000</f>
        <v>29.733263292769969</v>
      </c>
      <c r="F521" s="28">
        <f>(Fuentes!F1932/Fuentes!F$47)*100000</f>
        <v>37.196508911867518</v>
      </c>
      <c r="G521" s="28">
        <f>(Fuentes!G1932/Fuentes!G$47)*100000</f>
        <v>51.664052152512284</v>
      </c>
      <c r="H521" s="36">
        <f>(Fuentes!H1932/Fuentes!H$47)*100000</f>
        <v>32.856904267554363</v>
      </c>
      <c r="I521" s="28">
        <f>(Fuentes!I1932/Fuentes!I$47)*100000</f>
        <v>31.318245729500102</v>
      </c>
      <c r="J521" s="28">
        <f>(Fuentes!J1932/Fuentes!J$47)*100000</f>
        <v>29.098767622264358</v>
      </c>
      <c r="K521" s="28">
        <f>(Fuentes!K1932/Fuentes!K$47)*100000</f>
        <v>39.213549223562644</v>
      </c>
      <c r="L521" s="28">
        <f>(Fuentes!L1932/Fuentes!L$47)*100000</f>
        <v>33.3382781383458</v>
      </c>
      <c r="M521" s="28">
        <f>(Fuentes!M1932/Fuentes!M$47)*100000</f>
        <v>23.313293164771828</v>
      </c>
      <c r="N521" s="28">
        <f>(Fuentes!N1932/Fuentes!N$47)*100000</f>
        <v>21.623872232313122</v>
      </c>
      <c r="O521" s="28">
        <f>(Fuentes!O1932/Fuentes!O$47)*100000</f>
        <v>21.279106432286984</v>
      </c>
      <c r="P521" s="28">
        <f>(Fuentes!P1932/Fuentes!P$47)*100000</f>
        <v>15.488533817197959</v>
      </c>
      <c r="Q521" s="28">
        <f>(Fuentes!Q1932/Fuentes!Q$47)*100000</f>
        <v>14.937821579558356</v>
      </c>
      <c r="R521" s="28">
        <f>(Fuentes!R1932/Fuentes!R$47)*100000</f>
        <v>14.444685649080643</v>
      </c>
      <c r="S521" s="28">
        <f>(Fuentes!S1932/Fuentes!S$47)*100000</f>
        <v>14.825048074052445</v>
      </c>
      <c r="T521" s="28">
        <f>(Fuentes!T1932/Fuentes!T$47)*100000</f>
        <v>12.733752792582731</v>
      </c>
      <c r="U521" s="28">
        <f>(Fuentes!U1932/Fuentes!U$47)*100000</f>
        <v>12.211713131468985</v>
      </c>
      <c r="V521" s="28">
        <f>(Fuentes!V1932/Fuentes!V$47)*100000</f>
        <v>11.269278621842354</v>
      </c>
    </row>
    <row r="522" spans="1:22" s="14" customFormat="1" ht="12.75" x14ac:dyDescent="0.2">
      <c r="A522" s="28" t="s">
        <v>3198</v>
      </c>
      <c r="B522" s="29" t="s">
        <v>3508</v>
      </c>
      <c r="C522" s="29">
        <f>(Fuentes!C1933/Fuentes!C$47)*100000</f>
        <v>0</v>
      </c>
      <c r="D522" s="30">
        <f>(Fuentes!D1933/Fuentes!D$47)*100000</f>
        <v>0</v>
      </c>
      <c r="E522" s="35">
        <f>(Fuentes!E1933/Fuentes!E$47)*100000</f>
        <v>0</v>
      </c>
      <c r="F522" s="28">
        <f>(Fuentes!F1933/Fuentes!F$47)*100000</f>
        <v>0</v>
      </c>
      <c r="G522" s="28">
        <f>(Fuentes!G1933/Fuentes!G$47)*100000</f>
        <v>0</v>
      </c>
      <c r="H522" s="28">
        <f>(Fuentes!H1933/Fuentes!H$47)*100000</f>
        <v>0</v>
      </c>
      <c r="I522" s="28">
        <f>(Fuentes!I1933/Fuentes!I$47)*100000</f>
        <v>0</v>
      </c>
      <c r="J522" s="28">
        <f>(Fuentes!J1933/Fuentes!J$47)*100000</f>
        <v>0</v>
      </c>
      <c r="K522" s="28">
        <f>(Fuentes!K1933/Fuentes!K$47)*100000</f>
        <v>0</v>
      </c>
      <c r="L522" s="28">
        <f>(Fuentes!L1933/Fuentes!L$47)*100000</f>
        <v>0</v>
      </c>
      <c r="M522" s="28">
        <f>(Fuentes!M1933/Fuentes!M$47)*100000</f>
        <v>0</v>
      </c>
      <c r="N522" s="36">
        <f>(Fuentes!N1933/Fuentes!N$47)*100000</f>
        <v>0</v>
      </c>
      <c r="O522" s="28">
        <f>(Fuentes!O1933/Fuentes!O$47)*100000</f>
        <v>0</v>
      </c>
      <c r="P522" s="28">
        <f>(Fuentes!P1933/Fuentes!P$47)*100000</f>
        <v>0</v>
      </c>
      <c r="Q522" s="28">
        <f>(Fuentes!Q1933/Fuentes!Q$47)*100000</f>
        <v>0</v>
      </c>
      <c r="R522" s="28">
        <f>(Fuentes!R1933/Fuentes!R$47)*100000</f>
        <v>0</v>
      </c>
      <c r="S522" s="28">
        <f>(Fuentes!S1933/Fuentes!S$47)*100000</f>
        <v>0</v>
      </c>
      <c r="T522" s="28">
        <f>(Fuentes!T1933/Fuentes!T$47)*100000</f>
        <v>1.1925260551783827</v>
      </c>
      <c r="U522" s="28">
        <f>(Fuentes!U1933/Fuentes!U$47)*100000</f>
        <v>2.4783182132604815</v>
      </c>
      <c r="V522" s="28">
        <f>(Fuentes!V1933/Fuentes!V$47)*100000</f>
        <v>6.2079885741377172</v>
      </c>
    </row>
    <row r="523" spans="1:22" s="14" customFormat="1" ht="12.75" x14ac:dyDescent="0.2">
      <c r="A523" s="28" t="s">
        <v>3198</v>
      </c>
      <c r="B523" s="29" t="s">
        <v>3509</v>
      </c>
      <c r="C523" s="29">
        <f>(Fuentes!C1934/Fuentes!C$47)*100000</f>
        <v>0</v>
      </c>
      <c r="D523" s="30">
        <f>(Fuentes!D1934/Fuentes!D$47)*100000</f>
        <v>0</v>
      </c>
      <c r="E523" s="35">
        <f>(Fuentes!E1934/Fuentes!E$47)*100000</f>
        <v>0</v>
      </c>
      <c r="F523" s="28">
        <f>(Fuentes!F1934/Fuentes!F$47)*100000</f>
        <v>0</v>
      </c>
      <c r="G523" s="28">
        <f>(Fuentes!G1934/Fuentes!G$47)*100000</f>
        <v>0</v>
      </c>
      <c r="H523" s="36">
        <f>(Fuentes!H1934/Fuentes!H$47)*100000</f>
        <v>0</v>
      </c>
      <c r="I523" s="28">
        <f>(Fuentes!I1934/Fuentes!I$47)*100000</f>
        <v>0</v>
      </c>
      <c r="J523" s="28">
        <f>(Fuentes!J1934/Fuentes!J$47)*100000</f>
        <v>0</v>
      </c>
      <c r="K523" s="28">
        <f>(Fuentes!K1934/Fuentes!K$47)*100000</f>
        <v>0</v>
      </c>
      <c r="L523" s="28">
        <f>(Fuentes!L1934/Fuentes!L$47)*100000</f>
        <v>0</v>
      </c>
      <c r="M523" s="28">
        <f>(Fuentes!M1934/Fuentes!M$47)*100000</f>
        <v>0</v>
      </c>
      <c r="N523" s="28">
        <f>(Fuentes!N1934/Fuentes!N$47)*100000</f>
        <v>0</v>
      </c>
      <c r="O523" s="28">
        <f>(Fuentes!O1934/Fuentes!O$47)*100000</f>
        <v>0</v>
      </c>
      <c r="P523" s="28">
        <f>(Fuentes!P1934/Fuentes!P$47)*100000</f>
        <v>0</v>
      </c>
      <c r="Q523" s="28">
        <f>(Fuentes!Q1934/Fuentes!Q$47)*100000</f>
        <v>0</v>
      </c>
      <c r="R523" s="28">
        <f>(Fuentes!R1934/Fuentes!R$47)*100000</f>
        <v>0</v>
      </c>
      <c r="S523" s="28">
        <f>(Fuentes!S1934/Fuentes!S$47)*100000</f>
        <v>0</v>
      </c>
      <c r="T523" s="28">
        <f>(Fuentes!T1934/Fuentes!T$47)*100000</f>
        <v>0.48509534447934205</v>
      </c>
      <c r="U523" s="28">
        <f>(Fuentes!U1934/Fuentes!U$47)*100000</f>
        <v>1.1791997950191002</v>
      </c>
      <c r="V523" s="28">
        <f>(Fuentes!V1934/Fuentes!V$47)*100000</f>
        <v>1.5816531399076985</v>
      </c>
    </row>
    <row r="524" spans="1:22" s="14" customFormat="1" ht="12.75" x14ac:dyDescent="0.2">
      <c r="A524" s="28" t="s">
        <v>3198</v>
      </c>
      <c r="B524" s="29" t="s">
        <v>3510</v>
      </c>
      <c r="C524" s="29">
        <f>(Fuentes!C1936/Fuentes!C$47)*100000</f>
        <v>0</v>
      </c>
      <c r="D524" s="30">
        <f>(Fuentes!D1936/Fuentes!D$47)*100000</f>
        <v>0</v>
      </c>
      <c r="E524" s="35">
        <f>(Fuentes!E1936/Fuentes!E$47)*100000</f>
        <v>0</v>
      </c>
      <c r="F524" s="28">
        <f>(Fuentes!F1936/Fuentes!F$47)*100000</f>
        <v>0</v>
      </c>
      <c r="G524" s="28">
        <f>(Fuentes!G1936/Fuentes!G$47)*100000</f>
        <v>0</v>
      </c>
      <c r="H524" s="28">
        <f>(Fuentes!H1936/Fuentes!H$47)*100000</f>
        <v>0</v>
      </c>
      <c r="I524" s="28">
        <f>(Fuentes!I1936/Fuentes!I$47)*100000</f>
        <v>0</v>
      </c>
      <c r="J524" s="28">
        <f>(Fuentes!J1936/Fuentes!J$47)*100000</f>
        <v>0</v>
      </c>
      <c r="K524" s="28">
        <f>(Fuentes!K1936/Fuentes!K$47)*100000</f>
        <v>0</v>
      </c>
      <c r="L524" s="28">
        <f>(Fuentes!L1936/Fuentes!L$47)*100000</f>
        <v>0</v>
      </c>
      <c r="M524" s="28">
        <f>(Fuentes!M1936/Fuentes!M$47)*100000</f>
        <v>0</v>
      </c>
      <c r="N524" s="36">
        <f>(Fuentes!N1936/Fuentes!N$47)*100000</f>
        <v>0</v>
      </c>
      <c r="O524" s="28">
        <f>(Fuentes!O1936/Fuentes!O$47)*100000</f>
        <v>0</v>
      </c>
      <c r="P524" s="28">
        <f>(Fuentes!P1936/Fuentes!P$47)*100000</f>
        <v>0</v>
      </c>
      <c r="Q524" s="28">
        <f>(Fuentes!Q1936/Fuentes!Q$47)*100000</f>
        <v>0</v>
      </c>
      <c r="R524" s="28">
        <f>(Fuentes!R1936/Fuentes!R$47)*100000</f>
        <v>0</v>
      </c>
      <c r="S524" s="28">
        <f>(Fuentes!S1936/Fuentes!S$47)*100000</f>
        <v>0</v>
      </c>
      <c r="T524" s="28">
        <f>(Fuentes!T1936/Fuentes!T$47)*100000</f>
        <v>0.66700609865909544</v>
      </c>
      <c r="U524" s="28">
        <f>(Fuentes!U1936/Fuentes!U$47)*100000</f>
        <v>1.2391591066302408</v>
      </c>
      <c r="V524" s="28">
        <f>(Fuentes!V1936/Fuentes!V$47)*100000</f>
        <v>1.1664691906819278</v>
      </c>
    </row>
    <row r="525" spans="1:22" s="14" customFormat="1" ht="12.75" x14ac:dyDescent="0.2">
      <c r="A525" s="28" t="s">
        <v>3198</v>
      </c>
      <c r="B525" s="29" t="s">
        <v>3511</v>
      </c>
      <c r="C525" s="29">
        <f>(Fuentes!C1937/Fuentes!C$47)*100000</f>
        <v>0</v>
      </c>
      <c r="D525" s="30">
        <f>(Fuentes!D1937/Fuentes!D$47)*100000</f>
        <v>0</v>
      </c>
      <c r="E525" s="35">
        <f>(Fuentes!E1937/Fuentes!E$47)*100000</f>
        <v>0</v>
      </c>
      <c r="F525" s="28">
        <f>(Fuentes!F1937/Fuentes!F$47)*100000</f>
        <v>0</v>
      </c>
      <c r="G525" s="28">
        <f>(Fuentes!G1937/Fuentes!G$47)*100000</f>
        <v>0</v>
      </c>
      <c r="H525" s="36">
        <f>(Fuentes!H1937/Fuentes!H$47)*100000</f>
        <v>0</v>
      </c>
      <c r="I525" s="28">
        <f>(Fuentes!I1937/Fuentes!I$47)*100000</f>
        <v>0</v>
      </c>
      <c r="J525" s="28">
        <f>(Fuentes!J1937/Fuentes!J$47)*100000</f>
        <v>0</v>
      </c>
      <c r="K525" s="28">
        <f>(Fuentes!K1937/Fuentes!K$47)*100000</f>
        <v>0</v>
      </c>
      <c r="L525" s="28">
        <f>(Fuentes!L1937/Fuentes!L$47)*100000</f>
        <v>0</v>
      </c>
      <c r="M525" s="28">
        <f>(Fuentes!M1937/Fuentes!M$47)*100000</f>
        <v>0</v>
      </c>
      <c r="N525" s="28">
        <f>(Fuentes!N1937/Fuentes!N$47)*100000</f>
        <v>0</v>
      </c>
      <c r="O525" s="28">
        <f>(Fuentes!O1937/Fuentes!O$47)*100000</f>
        <v>0</v>
      </c>
      <c r="P525" s="28">
        <f>(Fuentes!P1937/Fuentes!P$47)*100000</f>
        <v>0</v>
      </c>
      <c r="Q525" s="28">
        <f>(Fuentes!Q1937/Fuentes!Q$47)*100000</f>
        <v>0</v>
      </c>
      <c r="R525" s="28">
        <f>(Fuentes!R1937/Fuentes!R$47)*100000</f>
        <v>0</v>
      </c>
      <c r="S525" s="28">
        <f>(Fuentes!S1937/Fuentes!S$47)*100000</f>
        <v>0</v>
      </c>
      <c r="T525" s="28">
        <f>(Fuentes!T1937/Fuentes!T$47)*100000</f>
        <v>4.0424612039945178E-2</v>
      </c>
      <c r="U525" s="28">
        <f>(Fuentes!U1937/Fuentes!U$47)*100000</f>
        <v>5.9959311611140681E-2</v>
      </c>
      <c r="V525" s="28">
        <f>(Fuentes!V1937/Fuentes!V$47)*100000</f>
        <v>0.13839464974192364</v>
      </c>
    </row>
    <row r="526" spans="1:22" s="14" customFormat="1" ht="12.75" x14ac:dyDescent="0.2">
      <c r="A526" s="28" t="s">
        <v>3198</v>
      </c>
      <c r="B526" s="29" t="s">
        <v>3512</v>
      </c>
      <c r="C526" s="29">
        <f>(Fuentes!C1939/Fuentes!C$47)*100000</f>
        <v>113.62612202567486</v>
      </c>
      <c r="D526" s="30">
        <f>(Fuentes!D1939/Fuentes!D$47)*100000</f>
        <v>157.02967046281512</v>
      </c>
      <c r="E526" s="35">
        <f>(Fuentes!E1939/Fuentes!E$47)*100000</f>
        <v>199.13331017983901</v>
      </c>
      <c r="F526" s="28">
        <f>(Fuentes!F1939/Fuentes!F$47)*100000</f>
        <v>222.24914074840842</v>
      </c>
      <c r="G526" s="28">
        <f>(Fuentes!G1939/Fuentes!G$47)*100000</f>
        <v>254.51470354107101</v>
      </c>
      <c r="H526" s="28">
        <f>(Fuentes!H1939/Fuentes!H$47)*100000</f>
        <v>302.82915738291081</v>
      </c>
      <c r="I526" s="28">
        <f>(Fuentes!I1939/Fuentes!I$47)*100000</f>
        <v>283.92093218057261</v>
      </c>
      <c r="J526" s="28">
        <f>(Fuentes!J1939/Fuentes!J$47)*100000</f>
        <v>416.62154783325923</v>
      </c>
      <c r="K526" s="28">
        <f>(Fuentes!K1939/Fuentes!K$47)*100000</f>
        <v>667.74293894993059</v>
      </c>
      <c r="L526" s="28">
        <f>(Fuentes!L1939/Fuentes!L$47)*100000</f>
        <v>1396.5382337469741</v>
      </c>
      <c r="M526" s="28">
        <f>(Fuentes!M1939/Fuentes!M$47)*100000</f>
        <v>1416.3762981666532</v>
      </c>
      <c r="N526" s="36">
        <f>(Fuentes!N1939/Fuentes!N$47)*100000</f>
        <v>1078.4280207057832</v>
      </c>
      <c r="O526" s="28">
        <f>(Fuentes!O1939/Fuentes!O$47)*100000</f>
        <v>74.820777263425228</v>
      </c>
      <c r="P526" s="28">
        <f>(Fuentes!P1939/Fuentes!P$47)*100000</f>
        <v>59.917286985982244</v>
      </c>
      <c r="Q526" s="28">
        <f>(Fuentes!Q1939/Fuentes!Q$47)*100000</f>
        <v>63.501454709174446</v>
      </c>
      <c r="R526" s="28">
        <f>(Fuentes!R1939/Fuentes!R$47)*100000</f>
        <v>64.194004131014538</v>
      </c>
      <c r="S526" s="28">
        <f>(Fuentes!S1939/Fuentes!S$47)*100000</f>
        <v>68.256566167154574</v>
      </c>
      <c r="T526" s="28">
        <f>(Fuentes!T1939/Fuentes!T$47)*100000</f>
        <v>75.796147574897205</v>
      </c>
      <c r="U526" s="28">
        <f>(Fuentes!U1939/Fuentes!U$47)*100000</f>
        <v>67.014523944051561</v>
      </c>
      <c r="V526" s="28">
        <f>(Fuentes!V1939/Fuentes!V$47)*100000</f>
        <v>69.256636863708351</v>
      </c>
    </row>
    <row r="527" spans="1:22" s="14" customFormat="1" ht="12.75" x14ac:dyDescent="0.2">
      <c r="A527" s="28" t="s">
        <v>3198</v>
      </c>
      <c r="B527" s="29" t="s">
        <v>3513</v>
      </c>
      <c r="C527" s="29">
        <f>(Fuentes!C1940/Fuentes!C$47)*100000</f>
        <v>0.12912059321099417</v>
      </c>
      <c r="D527" s="30">
        <f>(Fuentes!D1940/Fuentes!D$47)*100000</f>
        <v>0.10117891138067985</v>
      </c>
      <c r="E527" s="35">
        <f>(Fuentes!E1940/Fuentes!E$47)*100000</f>
        <v>4.9721176074866168E-2</v>
      </c>
      <c r="F527" s="28">
        <f>(Fuentes!F1940/Fuentes!F$47)*100000</f>
        <v>2.4471387442018107E-2</v>
      </c>
      <c r="G527" s="28">
        <f>(Fuentes!G1940/Fuentes!G$47)*100000</f>
        <v>4.8171610398612855E-2</v>
      </c>
      <c r="H527" s="36">
        <f>(Fuentes!H1940/Fuentes!H$47)*100000</f>
        <v>9.4893586332286964E-2</v>
      </c>
      <c r="I527" s="28">
        <f>(Fuentes!I1940/Fuentes!I$47)*100000</f>
        <v>2.3371825171268734E-2</v>
      </c>
      <c r="J527" s="28">
        <f>(Fuentes!J1940/Fuentes!J$47)*100000</f>
        <v>0.16127583005213819</v>
      </c>
      <c r="K527" s="28">
        <f>(Fuentes!K1940/Fuentes!K$47)*100000</f>
        <v>9.0824665254343129E-2</v>
      </c>
      <c r="L527" s="28">
        <f>(Fuentes!L1940/Fuentes!L$47)*100000</f>
        <v>0.1118734165716302</v>
      </c>
      <c r="M527" s="28">
        <f>(Fuentes!M1940/Fuentes!M$47)*100000</f>
        <v>8.8224382837357909E-2</v>
      </c>
      <c r="N527" s="28">
        <f>(Fuentes!N1940/Fuentes!N$47)*100000</f>
        <v>0.19598675739256605</v>
      </c>
      <c r="O527" s="28">
        <f>(Fuentes!O1940/Fuentes!O$47)*100000</f>
        <v>0.1074702345064999</v>
      </c>
      <c r="P527" s="28">
        <f>(Fuentes!P1940/Fuentes!P$47)*100000</f>
        <v>0.1909545265133995</v>
      </c>
      <c r="Q527" s="28">
        <f>(Fuentes!Q1940/Fuentes!Q$47)*100000</f>
        <v>0.33521058243048207</v>
      </c>
      <c r="R527" s="28">
        <f>(Fuentes!R1940/Fuentes!R$47)*100000</f>
        <v>0.28972148866350855</v>
      </c>
      <c r="S527" s="28">
        <f>(Fuentes!S1940/Fuentes!S$47)*100000</f>
        <v>0.3885185012510296</v>
      </c>
      <c r="T527" s="28">
        <f>(Fuentes!T1940/Fuentes!T$47)*100000</f>
        <v>0.86912915885882125</v>
      </c>
      <c r="U527" s="28">
        <f>(Fuentes!U1940/Fuentes!U$47)*100000</f>
        <v>0.35975586966684409</v>
      </c>
      <c r="V527" s="28">
        <f>(Fuentes!V1940/Fuentes!V$47)*100000</f>
        <v>0.4151839492257709</v>
      </c>
    </row>
    <row r="528" spans="1:22" s="14" customFormat="1" ht="12.75" x14ac:dyDescent="0.2">
      <c r="A528" s="28" t="s">
        <v>3198</v>
      </c>
      <c r="B528" s="29" t="s">
        <v>3514</v>
      </c>
      <c r="C528" s="29">
        <f>(Fuentes!C1941/Fuentes!C$47)*100000</f>
        <v>0</v>
      </c>
      <c r="D528" s="30">
        <f>(Fuentes!D1941/Fuentes!D$47)*100000</f>
        <v>0</v>
      </c>
      <c r="E528" s="35">
        <f>(Fuentes!E1941/Fuentes!E$47)*100000</f>
        <v>0</v>
      </c>
      <c r="F528" s="28">
        <f>(Fuentes!F1941/Fuentes!F$47)*100000</f>
        <v>0</v>
      </c>
      <c r="G528" s="28">
        <f>(Fuentes!G1941/Fuentes!G$47)*100000</f>
        <v>0</v>
      </c>
      <c r="H528" s="28">
        <f>(Fuentes!H1941/Fuentes!H$47)*100000</f>
        <v>2.3723396583071741E-2</v>
      </c>
      <c r="I528" s="28">
        <f>(Fuentes!I1941/Fuentes!I$47)*100000</f>
        <v>0.11685912585634367</v>
      </c>
      <c r="J528" s="28">
        <f>(Fuentes!J1941/Fuentes!J$47)*100000</f>
        <v>4.6078808586325189E-2</v>
      </c>
      <c r="K528" s="28">
        <f>(Fuentes!K1941/Fuentes!K$47)*100000</f>
        <v>0.31788632839020092</v>
      </c>
      <c r="L528" s="28">
        <f>(Fuentes!L1941/Fuentes!L$47)*100000</f>
        <v>0.44749366628652082</v>
      </c>
      <c r="M528" s="28">
        <f>(Fuentes!M1941/Fuentes!M$47)*100000</f>
        <v>0.48523410560546854</v>
      </c>
      <c r="N528" s="36">
        <f>(Fuentes!N1941/Fuentes!N$47)*100000</f>
        <v>1.001710093339782</v>
      </c>
      <c r="O528" s="28">
        <f>(Fuentes!O1941/Fuentes!O$47)*100000</f>
        <v>0.51585712563119956</v>
      </c>
      <c r="P528" s="28">
        <f>(Fuentes!P1941/Fuentes!P$47)*100000</f>
        <v>0.6152979187653983</v>
      </c>
      <c r="Q528" s="28">
        <f>(Fuentes!Q1941/Fuentes!Q$47)*100000</f>
        <v>0.50281587364572311</v>
      </c>
      <c r="R528" s="28">
        <f>(Fuentes!R1941/Fuentes!R$47)*100000</f>
        <v>0.62083176142180407</v>
      </c>
      <c r="S528" s="28">
        <f>(Fuentes!S1941/Fuentes!S$47)*100000</f>
        <v>0.44986352776435007</v>
      </c>
      <c r="T528" s="28">
        <f>(Fuentes!T1941/Fuentes!T$47)*100000</f>
        <v>0.52551995651928729</v>
      </c>
      <c r="U528" s="28">
        <f>(Fuentes!U1941/Fuentes!U$47)*100000</f>
        <v>0.23983724644456272</v>
      </c>
      <c r="V528" s="28">
        <f>(Fuentes!V1941/Fuentes!V$47)*100000</f>
        <v>0.53380793471884824</v>
      </c>
    </row>
    <row r="529" spans="1:22" s="14" customFormat="1" ht="12.75" x14ac:dyDescent="0.2">
      <c r="A529" s="28" t="s">
        <v>3198</v>
      </c>
      <c r="B529" s="29" t="s">
        <v>3515</v>
      </c>
      <c r="C529" s="29">
        <f>(Fuentes!C1942/Fuentes!C$47)*100000</f>
        <v>0</v>
      </c>
      <c r="D529" s="30">
        <f>(Fuentes!D1942/Fuentes!D$47)*100000</f>
        <v>0</v>
      </c>
      <c r="E529" s="35">
        <f>(Fuentes!E1942/Fuentes!E$47)*100000</f>
        <v>0</v>
      </c>
      <c r="F529" s="28">
        <f>(Fuentes!F1942/Fuentes!F$47)*100000</f>
        <v>0</v>
      </c>
      <c r="G529" s="28">
        <f>(Fuentes!G1942/Fuentes!G$47)*100000</f>
        <v>0</v>
      </c>
      <c r="H529" s="36">
        <f>(Fuentes!H1942/Fuentes!H$47)*100000</f>
        <v>0</v>
      </c>
      <c r="I529" s="28">
        <f>(Fuentes!I1942/Fuentes!I$47)*100000</f>
        <v>0</v>
      </c>
      <c r="J529" s="28">
        <f>(Fuentes!J1942/Fuentes!J$47)*100000</f>
        <v>0</v>
      </c>
      <c r="K529" s="28">
        <f>(Fuentes!K1942/Fuentes!K$47)*100000</f>
        <v>0</v>
      </c>
      <c r="L529" s="28">
        <f>(Fuentes!L1942/Fuentes!L$47)*100000</f>
        <v>0.17899746651460832</v>
      </c>
      <c r="M529" s="28">
        <f>(Fuentes!M1942/Fuentes!M$47)*100000</f>
        <v>4.4112191418678955E-2</v>
      </c>
      <c r="N529" s="28">
        <f>(Fuentes!N1942/Fuentes!N$47)*100000</f>
        <v>0</v>
      </c>
      <c r="O529" s="28">
        <f>(Fuentes!O1942/Fuentes!O$47)*100000</f>
        <v>0</v>
      </c>
      <c r="P529" s="28">
        <f>(Fuentes!P1942/Fuentes!P$47)*100000</f>
        <v>0</v>
      </c>
      <c r="Q529" s="28">
        <f>(Fuentes!Q1942/Fuentes!Q$47)*100000</f>
        <v>0</v>
      </c>
      <c r="R529" s="28">
        <f>(Fuentes!R1942/Fuentes!R$47)*100000</f>
        <v>0</v>
      </c>
      <c r="S529" s="28">
        <f>(Fuentes!S1942/Fuentes!S$47)*100000</f>
        <v>0</v>
      </c>
      <c r="T529" s="28">
        <f>(Fuentes!T1942/Fuentes!T$47)*100000</f>
        <v>0</v>
      </c>
      <c r="U529" s="28">
        <f>(Fuentes!U1942/Fuentes!U$47)*100000</f>
        <v>0</v>
      </c>
      <c r="V529" s="28">
        <f>(Fuentes!V1942/Fuentes!V$47)*100000</f>
        <v>0</v>
      </c>
    </row>
    <row r="530" spans="1:22" s="14" customFormat="1" ht="12.75" x14ac:dyDescent="0.2">
      <c r="A530" s="28" t="s">
        <v>3198</v>
      </c>
      <c r="B530" s="29" t="s">
        <v>3516</v>
      </c>
      <c r="C530" s="29">
        <f>(Fuentes!C1943/Fuentes!C$47)*100000</f>
        <v>0.54230649148617549</v>
      </c>
      <c r="D530" s="30">
        <f>(Fuentes!D1943/Fuentes!D$47)*100000</f>
        <v>0</v>
      </c>
      <c r="E530" s="35">
        <f>(Fuentes!E1943/Fuentes!E$47)*100000</f>
        <v>0.34804823252406319</v>
      </c>
      <c r="F530" s="28">
        <f>(Fuentes!F1943/Fuentes!F$47)*100000</f>
        <v>0.39154219907228971</v>
      </c>
      <c r="G530" s="28">
        <f>(Fuentes!G1943/Fuentes!G$47)*100000</f>
        <v>0.21677224679375781</v>
      </c>
      <c r="H530" s="28">
        <f>(Fuentes!H1943/Fuentes!H$47)*100000</f>
        <v>0.80659548382443924</v>
      </c>
      <c r="I530" s="28">
        <f>(Fuentes!I1943/Fuentes!I$47)*100000</f>
        <v>0.72452658030933081</v>
      </c>
      <c r="J530" s="28">
        <f>(Fuentes!J1943/Fuentes!J$47)*100000</f>
        <v>1.1750096189512924</v>
      </c>
      <c r="K530" s="28">
        <f>(Fuentes!K1943/Fuentes!K$47)*100000</f>
        <v>1.0671898167385316</v>
      </c>
      <c r="L530" s="28">
        <f>(Fuentes!L1943/Fuentes!L$47)*100000</f>
        <v>1.5438531486884965</v>
      </c>
      <c r="M530" s="28">
        <f>(Fuentes!M1943/Fuentes!M$47)*100000</f>
        <v>2.0732729966779107</v>
      </c>
      <c r="N530" s="36">
        <f>(Fuentes!N1943/Fuentes!N$47)*100000</f>
        <v>2.5042752333494551</v>
      </c>
      <c r="O530" s="28">
        <f>(Fuentes!O1943/Fuentes!O$47)*100000</f>
        <v>1.9129701742156984</v>
      </c>
      <c r="P530" s="28">
        <f>(Fuentes!P1943/Fuentes!P$47)*100000</f>
        <v>2.5884946927371932</v>
      </c>
      <c r="Q530" s="28">
        <f>(Fuentes!Q1943/Fuentes!Q$47)*100000</f>
        <v>2.2417207700038486</v>
      </c>
      <c r="R530" s="28">
        <f>(Fuentes!R1943/Fuentes!R$47)*100000</f>
        <v>1.2416635228436081</v>
      </c>
      <c r="S530" s="28">
        <f>(Fuentes!S1943/Fuentes!S$47)*100000</f>
        <v>0.3885185012510296</v>
      </c>
      <c r="T530" s="28">
        <f>(Fuentes!T1943/Fuentes!T$47)*100000</f>
        <v>1.6574090936377521</v>
      </c>
      <c r="U530" s="28">
        <f>(Fuentes!U1943/Fuentes!U$47)*100000</f>
        <v>0.59959311611140675</v>
      </c>
      <c r="V530" s="28">
        <f>(Fuentes!V1943/Fuentes!V$47)*100000</f>
        <v>0.49426660622115581</v>
      </c>
    </row>
    <row r="531" spans="1:22" s="14" customFormat="1" ht="12.75" x14ac:dyDescent="0.2">
      <c r="A531" s="28" t="s">
        <v>3198</v>
      </c>
      <c r="B531" s="29" t="s">
        <v>3517</v>
      </c>
      <c r="C531" s="29">
        <f>(Fuentes!C1944/Fuentes!C$47)*100000</f>
        <v>0</v>
      </c>
      <c r="D531" s="30">
        <f>(Fuentes!D1944/Fuentes!D$47)*100000</f>
        <v>0</v>
      </c>
      <c r="E531" s="35">
        <f>(Fuentes!E1944/Fuentes!E$47)*100000</f>
        <v>0</v>
      </c>
      <c r="F531" s="28">
        <f>(Fuentes!F1944/Fuentes!F$47)*100000</f>
        <v>0</v>
      </c>
      <c r="G531" s="28">
        <f>(Fuentes!G1944/Fuentes!G$47)*100000</f>
        <v>4.0464152734834791</v>
      </c>
      <c r="H531" s="36">
        <f>(Fuentes!H1944/Fuentes!H$47)*100000</f>
        <v>7.7338272860813886</v>
      </c>
      <c r="I531" s="28">
        <f>(Fuentes!I1944/Fuentes!I$47)*100000</f>
        <v>6.0065590690160642</v>
      </c>
      <c r="J531" s="28">
        <f>(Fuentes!J1944/Fuentes!J$47)*100000</f>
        <v>1.9122705563324953</v>
      </c>
      <c r="K531" s="28">
        <f>(Fuentes!K1944/Fuentes!K$47)*100000</f>
        <v>2.2024981324178206</v>
      </c>
      <c r="L531" s="28">
        <f>(Fuentes!L1944/Fuentes!L$47)*100000</f>
        <v>0.51461771622949892</v>
      </c>
      <c r="M531" s="28">
        <f>(Fuentes!M1944/Fuentes!M$47)*100000</f>
        <v>0.24261705280273427</v>
      </c>
      <c r="N531" s="28">
        <f>(Fuentes!N1944/Fuentes!N$47)*100000</f>
        <v>0.30486828927732496</v>
      </c>
      <c r="O531" s="28">
        <f>(Fuentes!O1944/Fuentes!O$47)*100000</f>
        <v>0.27942260971689975</v>
      </c>
      <c r="P531" s="28">
        <f>(Fuentes!P1944/Fuentes!P$47)*100000</f>
        <v>1.485201872881996</v>
      </c>
      <c r="Q531" s="28">
        <f>(Fuentes!Q1944/Fuentes!Q$47)*100000</f>
        <v>0.62851984205715383</v>
      </c>
      <c r="R531" s="28">
        <f>(Fuentes!R1944/Fuentes!R$47)*100000</f>
        <v>0.12416635228436081</v>
      </c>
      <c r="S531" s="28">
        <f>(Fuentes!S1944/Fuentes!S$47)*100000</f>
        <v>0.57255358079099095</v>
      </c>
      <c r="T531" s="28">
        <f>(Fuentes!T1944/Fuentes!T$47)*100000</f>
        <v>3.6988520016549837</v>
      </c>
      <c r="U531" s="28">
        <f>(Fuentes!U1944/Fuentes!U$47)*100000</f>
        <v>4.0972196267612802</v>
      </c>
      <c r="V531" s="28">
        <f>(Fuentes!V1944/Fuentes!V$47)*100000</f>
        <v>3.7959675357784763</v>
      </c>
    </row>
    <row r="532" spans="1:22" s="14" customFormat="1" ht="12.75" x14ac:dyDescent="0.2">
      <c r="A532" s="28" t="s">
        <v>3198</v>
      </c>
      <c r="B532" s="29" t="s">
        <v>3518</v>
      </c>
      <c r="C532" s="29">
        <f>(Fuentes!C1945/Fuentes!C$47)*100000</f>
        <v>0.82637179655036253</v>
      </c>
      <c r="D532" s="30">
        <f>(Fuentes!D1945/Fuentes!D$47)*100000</f>
        <v>0.8853154745809485</v>
      </c>
      <c r="E532" s="35">
        <f>(Fuentes!E1945/Fuentes!E$47)*100000</f>
        <v>0.77067822916042561</v>
      </c>
      <c r="F532" s="28">
        <f>(Fuentes!F1945/Fuentes!F$47)*100000</f>
        <v>7.3414162326054314E-2</v>
      </c>
      <c r="G532" s="28">
        <f>(Fuentes!G1945/Fuentes!G$47)*100000</f>
        <v>2.4085805199306427E-2</v>
      </c>
      <c r="H532" s="28">
        <f>(Fuentes!H1945/Fuentes!H$47)*100000</f>
        <v>0.54563812141065005</v>
      </c>
      <c r="I532" s="28">
        <f>(Fuentes!I1945/Fuentes!I$47)*100000</f>
        <v>0.86475753133694322</v>
      </c>
      <c r="J532" s="28">
        <f>(Fuentes!J1945/Fuentes!J$47)*100000</f>
        <v>0.48382749015641452</v>
      </c>
      <c r="K532" s="28">
        <f>(Fuentes!K1945/Fuentes!K$47)*100000</f>
        <v>1.1580144819928748</v>
      </c>
      <c r="L532" s="28">
        <f>(Fuentes!L1945/Fuentes!L$47)*100000</f>
        <v>0.87261264925871562</v>
      </c>
      <c r="M532" s="28">
        <f>(Fuentes!M1945/Fuentes!M$47)*100000</f>
        <v>0.28672924422141322</v>
      </c>
      <c r="N532" s="36">
        <f>(Fuentes!N1945/Fuentes!N$47)*100000</f>
        <v>0.54440765942379454</v>
      </c>
      <c r="O532" s="28">
        <f>(Fuentes!O1945/Fuentes!O$47)*100000</f>
        <v>1.2896428140779987</v>
      </c>
      <c r="P532" s="28">
        <f>(Fuentes!P1945/Fuentes!P$47)*100000</f>
        <v>8.4868678450399776E-2</v>
      </c>
      <c r="Q532" s="28">
        <f>(Fuentes!Q1945/Fuentes!Q$47)*100000</f>
        <v>0.33521058243048207</v>
      </c>
      <c r="R532" s="28">
        <f>(Fuentes!R1945/Fuentes!R$47)*100000</f>
        <v>0.33111027275829552</v>
      </c>
      <c r="S532" s="28">
        <f>(Fuentes!S1945/Fuentes!S$47)*100000</f>
        <v>0.28627679039549547</v>
      </c>
      <c r="T532" s="28">
        <f>(Fuentes!T1945/Fuentes!T$47)*100000</f>
        <v>4.0424612039945178E-2</v>
      </c>
      <c r="U532" s="28">
        <f>(Fuentes!U1945/Fuentes!U$47)*100000</f>
        <v>0.5396338045002661</v>
      </c>
      <c r="V532" s="28">
        <f>(Fuentes!V1945/Fuentes!V$47)*100000</f>
        <v>0</v>
      </c>
    </row>
    <row r="533" spans="1:22" s="14" customFormat="1" ht="12.75" x14ac:dyDescent="0.2">
      <c r="A533" s="28" t="s">
        <v>3198</v>
      </c>
      <c r="B533" s="29" t="s">
        <v>3519</v>
      </c>
      <c r="C533" s="29">
        <f>(Fuentes!C1946/Fuentes!C$47)*100000</f>
        <v>0</v>
      </c>
      <c r="D533" s="30">
        <f>(Fuentes!D1946/Fuentes!D$47)*100000</f>
        <v>0</v>
      </c>
      <c r="E533" s="35">
        <f>(Fuentes!E1946/Fuentes!E$47)*100000</f>
        <v>0</v>
      </c>
      <c r="F533" s="28">
        <f>(Fuentes!F1946/Fuentes!F$47)*100000</f>
        <v>0</v>
      </c>
      <c r="G533" s="28">
        <f>(Fuentes!G1946/Fuentes!G$47)*100000</f>
        <v>0</v>
      </c>
      <c r="H533" s="36">
        <f>(Fuentes!H1946/Fuentes!H$47)*100000</f>
        <v>0</v>
      </c>
      <c r="I533" s="28">
        <f>(Fuentes!I1946/Fuentes!I$47)*100000</f>
        <v>0.53755197893918083</v>
      </c>
      <c r="J533" s="28">
        <f>(Fuentes!J1946/Fuentes!J$47)*100000</f>
        <v>0.7833397459675282</v>
      </c>
      <c r="K533" s="28">
        <f>(Fuentes!K1946/Fuentes!K$47)*100000</f>
        <v>1.2715453135608037</v>
      </c>
      <c r="L533" s="28">
        <f>(Fuentes!L1946/Fuentes!L$47)*100000</f>
        <v>2.3940911146328863</v>
      </c>
      <c r="M533" s="28">
        <f>(Fuentes!M1946/Fuentes!M$47)*100000</f>
        <v>5.6463605015909062</v>
      </c>
      <c r="N533" s="28">
        <f>(Fuentes!N1946/Fuentes!N$47)*100000</f>
        <v>5.9667079472847888</v>
      </c>
      <c r="O533" s="28">
        <f>(Fuentes!O1946/Fuentes!O$47)*100000</f>
        <v>7.7808449782705935</v>
      </c>
      <c r="P533" s="28">
        <f>(Fuentes!P1946/Fuentes!P$47)*100000</f>
        <v>6.3227165445547833</v>
      </c>
      <c r="Q533" s="28">
        <f>(Fuentes!Q1946/Fuentes!Q$47)*100000</f>
        <v>6.1804451135620129</v>
      </c>
      <c r="R533" s="28">
        <f>(Fuentes!R1946/Fuentes!R$47)*100000</f>
        <v>9.5401147338483892</v>
      </c>
      <c r="S533" s="28">
        <f>(Fuentes!S1946/Fuentes!S$47)*100000</f>
        <v>12.800662199112869</v>
      </c>
      <c r="T533" s="28">
        <f>(Fuentes!T1946/Fuentes!T$47)*100000</f>
        <v>13.380546585221854</v>
      </c>
      <c r="U533" s="28">
        <f>(Fuentes!U1946/Fuentes!U$47)*100000</f>
        <v>11.672079326968719</v>
      </c>
      <c r="V533" s="28">
        <f>(Fuentes!V1946/Fuentes!V$47)*100000</f>
        <v>15.95492604881891</v>
      </c>
    </row>
    <row r="534" spans="1:22" s="14" customFormat="1" ht="12.75" x14ac:dyDescent="0.2">
      <c r="A534" s="28" t="s">
        <v>3198</v>
      </c>
      <c r="B534" s="29" t="s">
        <v>3520</v>
      </c>
      <c r="C534" s="29">
        <f>(Fuentes!C1947/Fuentes!C$47)*100000</f>
        <v>7.7472355926596501E-2</v>
      </c>
      <c r="D534" s="30">
        <f>(Fuentes!D1947/Fuentes!D$47)*100000</f>
        <v>0.12647363922584981</v>
      </c>
      <c r="E534" s="35">
        <f>(Fuentes!E1947/Fuentes!E$47)*100000</f>
        <v>3.4804823252406316</v>
      </c>
      <c r="F534" s="28">
        <f>(Fuentes!F1947/Fuentes!F$47)*100000</f>
        <v>7.2435306828373598</v>
      </c>
      <c r="G534" s="28">
        <f>(Fuentes!G1947/Fuentes!G$47)*100000</f>
        <v>2.6735243771230133</v>
      </c>
      <c r="H534" s="28">
        <f>(Fuentes!H1947/Fuentes!H$47)*100000</f>
        <v>2.1351056924764569</v>
      </c>
      <c r="I534" s="28">
        <f>(Fuentes!I1947/Fuentes!I$47)*100000</f>
        <v>2.1268360905854551</v>
      </c>
      <c r="J534" s="28">
        <f>(Fuentes!J1947/Fuentes!J$47)*100000</f>
        <v>2.6495314937136989</v>
      </c>
      <c r="K534" s="28">
        <f>(Fuentes!K1947/Fuentes!K$47)*100000</f>
        <v>3.8600482733095829</v>
      </c>
      <c r="L534" s="28">
        <f>(Fuentes!L1947/Fuentes!L$47)*100000</f>
        <v>1.0292354324589978</v>
      </c>
      <c r="M534" s="28">
        <f>(Fuentes!M1947/Fuentes!M$47)*100000</f>
        <v>1.5880388910724423</v>
      </c>
      <c r="N534" s="36">
        <f>(Fuentes!N1947/Fuentes!N$47)*100000</f>
        <v>5.1174319985836689</v>
      </c>
      <c r="O534" s="28">
        <f>(Fuentes!O1947/Fuentes!O$47)*100000</f>
        <v>2.0849225494260981</v>
      </c>
      <c r="P534" s="28">
        <f>(Fuentes!P1947/Fuentes!P$47)*100000</f>
        <v>2.4399745054489932</v>
      </c>
      <c r="Q534" s="28">
        <f>(Fuentes!Q1947/Fuentes!Q$47)*100000</f>
        <v>2.4931287068267101</v>
      </c>
      <c r="R534" s="28">
        <f>(Fuentes!R1947/Fuentes!R$47)*100000</f>
        <v>2.7937429263981182</v>
      </c>
      <c r="S534" s="28">
        <f>(Fuentes!S1947/Fuentes!S$47)*100000</f>
        <v>3.189941378692664</v>
      </c>
      <c r="T534" s="28">
        <f>(Fuentes!T1947/Fuentes!T$47)*100000</f>
        <v>2.5871751705564914</v>
      </c>
      <c r="U534" s="28">
        <f>(Fuentes!U1947/Fuentes!U$47)*100000</f>
        <v>4.0772331895575658</v>
      </c>
      <c r="V534" s="28">
        <f>(Fuentes!V1947/Fuentes!V$47)*100000</f>
        <v>4.6856474269765567</v>
      </c>
    </row>
    <row r="535" spans="1:22" s="14" customFormat="1" ht="12.75" x14ac:dyDescent="0.2">
      <c r="A535" s="28" t="s">
        <v>3198</v>
      </c>
      <c r="B535" s="29" t="s">
        <v>3521</v>
      </c>
      <c r="C535" s="29">
        <f>(Fuentes!C1948/Fuentes!C$47)*100000</f>
        <v>0</v>
      </c>
      <c r="D535" s="30">
        <f>(Fuentes!D1948/Fuentes!D$47)*100000</f>
        <v>0</v>
      </c>
      <c r="E535" s="35">
        <f>(Fuentes!E1948/Fuentes!E$47)*100000</f>
        <v>0</v>
      </c>
      <c r="F535" s="28">
        <f>(Fuentes!F1948/Fuentes!F$47)*100000</f>
        <v>0</v>
      </c>
      <c r="G535" s="28">
        <f>(Fuentes!G1948/Fuentes!G$47)*100000</f>
        <v>0.4576302987868221</v>
      </c>
      <c r="H535" s="36">
        <f>(Fuentes!H1948/Fuentes!H$47)*100000</f>
        <v>37.672753773917925</v>
      </c>
      <c r="I535" s="28">
        <f>(Fuentes!I1948/Fuentes!I$47)*100000</f>
        <v>55.227622879708022</v>
      </c>
      <c r="J535" s="28">
        <f>(Fuentes!J1948/Fuentes!J$47)*100000</f>
        <v>116.32595227617794</v>
      </c>
      <c r="K535" s="28">
        <f>(Fuentes!K1948/Fuentes!K$47)*100000</f>
        <v>186.96257342606532</v>
      </c>
      <c r="L535" s="28">
        <f>(Fuentes!L1948/Fuentes!L$47)*100000</f>
        <v>400.08171234346395</v>
      </c>
      <c r="M535" s="28">
        <f>(Fuentes!M1948/Fuentes!M$47)*100000</f>
        <v>345.70724414818693</v>
      </c>
      <c r="N535" s="28">
        <f>(Fuentes!N1948/Fuentes!N$47)*100000</f>
        <v>182.28946068146337</v>
      </c>
      <c r="O535" s="28">
        <f>(Fuentes!O1948/Fuentes!O$47)*100000</f>
        <v>3.2670951289975974</v>
      </c>
      <c r="P535" s="28">
        <f>(Fuentes!P1948/Fuentes!P$47)*100000</f>
        <v>2.1217169612599944E-2</v>
      </c>
      <c r="Q535" s="28">
        <f>(Fuentes!Q1948/Fuentes!Q$47)*100000</f>
        <v>1.5084476209371691</v>
      </c>
      <c r="R535" s="28">
        <f>(Fuentes!R1948/Fuentes!R$47)*100000</f>
        <v>1.634856971744084</v>
      </c>
      <c r="S535" s="28">
        <f>(Fuentes!S1948/Fuentes!S$47)*100000</f>
        <v>2.7400778509283139</v>
      </c>
      <c r="T535" s="28">
        <f>(Fuentes!T1948/Fuentes!T$47)*100000</f>
        <v>2.8499351488161349</v>
      </c>
      <c r="U535" s="28">
        <f>(Fuentes!U1948/Fuentes!U$47)*100000</f>
        <v>0</v>
      </c>
      <c r="V535" s="28">
        <f>(Fuentes!V1948/Fuentes!V$47)*100000</f>
        <v>0</v>
      </c>
    </row>
    <row r="536" spans="1:22" s="14" customFormat="1" ht="12.75" x14ac:dyDescent="0.2">
      <c r="A536" s="28" t="s">
        <v>3198</v>
      </c>
      <c r="B536" s="29" t="s">
        <v>3522</v>
      </c>
      <c r="C536" s="29">
        <f>(Fuentes!C1949/Fuentes!C$47)*100000</f>
        <v>0</v>
      </c>
      <c r="D536" s="30">
        <f>(Fuentes!D1949/Fuentes!D$47)*100000</f>
        <v>0.12647363922584981</v>
      </c>
      <c r="E536" s="35">
        <f>(Fuentes!E1949/Fuentes!E$47)*100000</f>
        <v>0.52207234878609476</v>
      </c>
      <c r="F536" s="28">
        <f>(Fuentes!F1949/Fuentes!F$47)*100000</f>
        <v>0.19577109953614485</v>
      </c>
      <c r="G536" s="28">
        <f>(Fuentes!G1949/Fuentes!G$47)*100000</f>
        <v>0</v>
      </c>
      <c r="H536" s="28">
        <f>(Fuentes!H1949/Fuentes!H$47)*100000</f>
        <v>0</v>
      </c>
      <c r="I536" s="28">
        <f>(Fuentes!I1949/Fuentes!I$47)*100000</f>
        <v>0</v>
      </c>
      <c r="J536" s="28">
        <f>(Fuentes!J1949/Fuentes!J$47)*100000</f>
        <v>0</v>
      </c>
      <c r="K536" s="28">
        <f>(Fuentes!K1949/Fuentes!K$47)*100000</f>
        <v>0</v>
      </c>
      <c r="L536" s="28">
        <f>(Fuentes!L1949/Fuentes!L$47)*100000</f>
        <v>0</v>
      </c>
      <c r="M536" s="28">
        <f>(Fuentes!M1949/Fuentes!M$47)*100000</f>
        <v>0</v>
      </c>
      <c r="N536" s="36">
        <f>(Fuentes!N1949/Fuentes!N$47)*100000</f>
        <v>0</v>
      </c>
      <c r="O536" s="28">
        <f>(Fuentes!O1949/Fuentes!O$47)*100000</f>
        <v>0</v>
      </c>
      <c r="P536" s="28">
        <f>(Fuentes!P1949/Fuentes!P$47)*100000</f>
        <v>0</v>
      </c>
      <c r="Q536" s="28">
        <f>(Fuentes!Q1949/Fuentes!Q$47)*100000</f>
        <v>0</v>
      </c>
      <c r="R536" s="28">
        <f>(Fuentes!R1949/Fuentes!R$47)*100000</f>
        <v>0</v>
      </c>
      <c r="S536" s="28">
        <f>(Fuentes!S1949/Fuentes!S$47)*100000</f>
        <v>0</v>
      </c>
      <c r="T536" s="28">
        <f>(Fuentes!T1949/Fuentes!T$47)*100000</f>
        <v>0.60636918059917766</v>
      </c>
      <c r="U536" s="28">
        <f>(Fuentes!U1949/Fuentes!U$47)*100000</f>
        <v>0.19986437203713561</v>
      </c>
      <c r="V536" s="28">
        <f>(Fuentes!V1949/Fuentes!V$47)*100000</f>
        <v>0.53380793471884824</v>
      </c>
    </row>
    <row r="537" spans="1:22" s="14" customFormat="1" ht="12.75" x14ac:dyDescent="0.2">
      <c r="A537" s="28" t="s">
        <v>3198</v>
      </c>
      <c r="B537" s="29" t="s">
        <v>3523</v>
      </c>
      <c r="C537" s="29">
        <f>(Fuentes!C1950/Fuentes!C$47)*100000</f>
        <v>74.915768181018805</v>
      </c>
      <c r="D537" s="30">
        <f>(Fuentes!D1950/Fuentes!D$47)*100000</f>
        <v>111.85328653134155</v>
      </c>
      <c r="E537" s="35">
        <f>(Fuentes!E1950/Fuentes!E$47)*100000</f>
        <v>126.93816251913334</v>
      </c>
      <c r="F537" s="28">
        <f>(Fuentes!F1950/Fuentes!F$47)*100000</f>
        <v>129.82071037990605</v>
      </c>
      <c r="G537" s="28">
        <f>(Fuentes!G1950/Fuentes!G$47)*100000</f>
        <v>176.38035147452095</v>
      </c>
      <c r="H537" s="36">
        <f>(Fuentes!H1950/Fuentes!H$47)*100000</f>
        <v>225.06386338360164</v>
      </c>
      <c r="I537" s="28">
        <f>(Fuentes!I1950/Fuentes!I$47)*100000</f>
        <v>196.51030604002753</v>
      </c>
      <c r="J537" s="28">
        <f>(Fuentes!J1950/Fuentes!J$47)*100000</f>
        <v>269.86054248581348</v>
      </c>
      <c r="K537" s="28">
        <f>(Fuentes!K1950/Fuentes!K$47)*100000</f>
        <v>447.5839503734029</v>
      </c>
      <c r="L537" s="28">
        <f>(Fuentes!L1950/Fuentes!L$47)*100000</f>
        <v>937.16361062054625</v>
      </c>
      <c r="M537" s="28">
        <f>(Fuentes!M1950/Fuentes!M$47)*100000</f>
        <v>999.29552830304374</v>
      </c>
      <c r="N537" s="28">
        <f>(Fuentes!N1950/Fuentes!N$47)*100000</f>
        <v>838.32246659351279</v>
      </c>
      <c r="O537" s="28">
        <f>(Fuentes!O1950/Fuentes!O$47)*100000</f>
        <v>15.153303065416486</v>
      </c>
      <c r="P537" s="28">
        <f>(Fuentes!P1950/Fuentes!P$47)*100000</f>
        <v>7.4896608732477805</v>
      </c>
      <c r="Q537" s="28">
        <f>(Fuentes!Q1950/Fuentes!Q$47)*100000</f>
        <v>6.7880142942172617</v>
      </c>
      <c r="R537" s="28">
        <f>(Fuentes!R1950/Fuentes!R$47)*100000</f>
        <v>6.0841512619336795</v>
      </c>
      <c r="S537" s="28">
        <f>(Fuentes!S1950/Fuentes!S$47)*100000</f>
        <v>8.3838202901537962</v>
      </c>
      <c r="T537" s="28">
        <f>(Fuentes!T1950/Fuentes!T$47)*100000</f>
        <v>7.9232239598292544</v>
      </c>
      <c r="U537" s="28">
        <f>(Fuentes!U1950/Fuentes!U$47)*100000</f>
        <v>7.1551445189294549</v>
      </c>
      <c r="V537" s="28">
        <f>(Fuentes!V1950/Fuentes!V$47)*100000</f>
        <v>5.5357859896769455</v>
      </c>
    </row>
    <row r="538" spans="1:22" s="14" customFormat="1" ht="12.75" x14ac:dyDescent="0.2">
      <c r="A538" s="28" t="s">
        <v>3198</v>
      </c>
      <c r="B538" s="29" t="s">
        <v>3524</v>
      </c>
      <c r="C538" s="29">
        <f>(Fuentes!C1951/Fuentes!C$47)*100000</f>
        <v>4.080210745467415</v>
      </c>
      <c r="D538" s="30">
        <f>(Fuentes!D1951/Fuentes!D$47)*100000</f>
        <v>3.0606620692655651</v>
      </c>
      <c r="E538" s="35">
        <f>(Fuentes!E1951/Fuentes!E$47)*100000</f>
        <v>3.132434092716569</v>
      </c>
      <c r="F538" s="28">
        <f>(Fuentes!F1951/Fuentes!F$47)*100000</f>
        <v>1.7374685083832857</v>
      </c>
      <c r="G538" s="28">
        <f>(Fuentes!G1951/Fuentes!G$47)*100000</f>
        <v>2.5290095459271749</v>
      </c>
      <c r="H538" s="28">
        <f>(Fuentes!H1951/Fuentes!H$47)*100000</f>
        <v>7.9947846484951777</v>
      </c>
      <c r="I538" s="28">
        <f>(Fuentes!I1951/Fuentes!I$47)*100000</f>
        <v>7.1517785024082334</v>
      </c>
      <c r="J538" s="28">
        <f>(Fuentes!J1951/Fuentes!J$47)*100000</f>
        <v>7.6951610339163068</v>
      </c>
      <c r="K538" s="28">
        <f>(Fuentes!K1951/Fuentes!K$47)*100000</f>
        <v>7.7428027129327512</v>
      </c>
      <c r="L538" s="28">
        <f>(Fuentes!L1951/Fuentes!L$47)*100000</f>
        <v>5.9516657616107267</v>
      </c>
      <c r="M538" s="28">
        <f>(Fuentes!M1951/Fuentes!M$47)*100000</f>
        <v>5.49196783162553</v>
      </c>
      <c r="N538" s="36">
        <f>(Fuentes!N1951/Fuentes!N$47)*100000</f>
        <v>5.2263135304684276</v>
      </c>
      <c r="O538" s="28">
        <f>(Fuentes!O1951/Fuentes!O$47)*100000</f>
        <v>6.9425771491198933</v>
      </c>
      <c r="P538" s="28">
        <f>(Fuentes!P1951/Fuentes!P$47)*100000</f>
        <v>8.5080850146525773</v>
      </c>
      <c r="Q538" s="28">
        <f>(Fuentes!Q1951/Fuentes!Q$47)*100000</f>
        <v>11.543814432449725</v>
      </c>
      <c r="R538" s="28">
        <f>(Fuentes!R1951/Fuentes!R$47)*100000</f>
        <v>11.133582921497686</v>
      </c>
      <c r="S538" s="28">
        <f>(Fuentes!S1951/Fuentes!S$47)*100000</f>
        <v>11.880486801413062</v>
      </c>
      <c r="T538" s="28">
        <f>(Fuentes!T1951/Fuentes!T$47)*100000</f>
        <v>12.572054344422948</v>
      </c>
      <c r="U538" s="28">
        <f>(Fuentes!U1951/Fuentes!U$47)*100000</f>
        <v>12.791319810376679</v>
      </c>
      <c r="V538" s="28">
        <f>(Fuentes!V1951/Fuentes!V$47)*100000</f>
        <v>9.232900204211191</v>
      </c>
    </row>
    <row r="539" spans="1:22" s="14" customFormat="1" ht="12.75" x14ac:dyDescent="0.2">
      <c r="A539" s="28" t="s">
        <v>3198</v>
      </c>
      <c r="B539" s="29" t="s">
        <v>3525</v>
      </c>
      <c r="C539" s="29">
        <f>(Fuentes!C1952/Fuentes!C$47)*100000</f>
        <v>0.46483413555957898</v>
      </c>
      <c r="D539" s="30">
        <f>(Fuentes!D1952/Fuentes!D$47)*100000</f>
        <v>0.50589455690339924</v>
      </c>
      <c r="E539" s="35">
        <f>(Fuentes!E1952/Fuentes!E$47)*100000</f>
        <v>0.99442352149732349</v>
      </c>
      <c r="F539" s="28">
        <f>(Fuentes!F1952/Fuentes!F$47)*100000</f>
        <v>0.61178468605045266</v>
      </c>
      <c r="G539" s="28">
        <f>(Fuentes!G1952/Fuentes!G$47)*100000</f>
        <v>0.84300318197572488</v>
      </c>
      <c r="H539" s="36">
        <f>(Fuentes!H1952/Fuentes!H$47)*100000</f>
        <v>0.78287208724136759</v>
      </c>
      <c r="I539" s="28">
        <f>(Fuentes!I1952/Fuentes!I$47)*100000</f>
        <v>0.44406467825410589</v>
      </c>
      <c r="J539" s="28">
        <f>(Fuentes!J1952/Fuentes!J$47)*100000</f>
        <v>0.64510332020855277</v>
      </c>
      <c r="K539" s="28">
        <f>(Fuentes!K1952/Fuentes!K$47)*100000</f>
        <v>0.18164933050868626</v>
      </c>
      <c r="L539" s="28">
        <f>(Fuentes!L1952/Fuentes!L$47)*100000</f>
        <v>0.22374683314326041</v>
      </c>
      <c r="M539" s="28">
        <f>(Fuentes!M1952/Fuentes!M$47)*100000</f>
        <v>0.17644876567471582</v>
      </c>
      <c r="N539" s="28">
        <f>(Fuentes!N1952/Fuentes!N$47)*100000</f>
        <v>0.15243414463866248</v>
      </c>
      <c r="O539" s="28">
        <f>(Fuentes!O1952/Fuentes!O$47)*100000</f>
        <v>0.17195237521039985</v>
      </c>
      <c r="P539" s="28">
        <f>(Fuentes!P1952/Fuentes!P$47)*100000</f>
        <v>0.12730301767559965</v>
      </c>
      <c r="Q539" s="28">
        <f>(Fuentes!Q1952/Fuentes!Q$47)*100000</f>
        <v>8.3802645607620518E-2</v>
      </c>
      <c r="R539" s="28">
        <f>(Fuentes!R1952/Fuentes!R$47)*100000</f>
        <v>0.16555513637914776</v>
      </c>
      <c r="S539" s="28">
        <f>(Fuentes!S1952/Fuentes!S$47)*100000</f>
        <v>2.0448342171106821E-2</v>
      </c>
      <c r="T539" s="28">
        <f>(Fuentes!T1952/Fuentes!T$47)*100000</f>
        <v>0.40424612039945174</v>
      </c>
      <c r="U539" s="28">
        <f>(Fuentes!U1952/Fuentes!U$47)*100000</f>
        <v>2.7781147713161851</v>
      </c>
      <c r="V539" s="28">
        <f>(Fuentes!V1952/Fuentes!V$47)*100000</f>
        <v>2.7678929948384727</v>
      </c>
    </row>
    <row r="540" spans="1:22" s="14" customFormat="1" ht="12.75" x14ac:dyDescent="0.2">
      <c r="A540" s="28" t="s">
        <v>3198</v>
      </c>
      <c r="B540" s="29" t="s">
        <v>3526</v>
      </c>
      <c r="C540" s="29">
        <f>(Fuentes!C1953/Fuentes!C$47)*100000</f>
        <v>5.8620749317791345</v>
      </c>
      <c r="D540" s="30">
        <f>(Fuentes!D1953/Fuentes!D$47)*100000</f>
        <v>4.8312930184274627</v>
      </c>
      <c r="E540" s="35">
        <f>(Fuentes!E1953/Fuentes!E$47)*100000</f>
        <v>7.483036999267358</v>
      </c>
      <c r="F540" s="28">
        <f>(Fuentes!F1953/Fuentes!F$47)*100000</f>
        <v>10.840824636814022</v>
      </c>
      <c r="G540" s="28">
        <f>(Fuentes!G1953/Fuentes!G$47)*100000</f>
        <v>11.416671664471245</v>
      </c>
      <c r="H540" s="28">
        <f>(Fuentes!H1953/Fuentes!H$47)*100000</f>
        <v>19.975099922946406</v>
      </c>
      <c r="I540" s="28">
        <f>(Fuentes!I1953/Fuentes!I$47)*100000</f>
        <v>14.186697878960123</v>
      </c>
      <c r="J540" s="28">
        <f>(Fuentes!J1953/Fuentes!J$47)*100000</f>
        <v>14.883455173383037</v>
      </c>
      <c r="K540" s="28">
        <f>(Fuentes!K1953/Fuentes!K$47)*100000</f>
        <v>15.303956095356815</v>
      </c>
      <c r="L540" s="28">
        <f>(Fuentes!L1953/Fuentes!L$47)*100000</f>
        <v>26.290252894333094</v>
      </c>
      <c r="M540" s="28">
        <f>(Fuentes!M1953/Fuentes!M$47)*100000</f>
        <v>27.371614775290293</v>
      </c>
      <c r="N540" s="36">
        <f>(Fuentes!N1953/Fuentes!N$47)*100000</f>
        <v>30.377947395847741</v>
      </c>
      <c r="O540" s="28">
        <f>(Fuentes!O1953/Fuentes!O$47)*100000</f>
        <v>34.347486948277371</v>
      </c>
      <c r="P540" s="28">
        <f>(Fuentes!P1953/Fuentes!P$47)*100000</f>
        <v>28.728047655460323</v>
      </c>
      <c r="Q540" s="28">
        <f>(Fuentes!Q1953/Fuentes!Q$47)*100000</f>
        <v>28.953814057432886</v>
      </c>
      <c r="R540" s="28">
        <f>(Fuentes!R1953/Fuentes!R$47)*100000</f>
        <v>25.78521249105226</v>
      </c>
      <c r="S540" s="28">
        <f>(Fuentes!S1953/Fuentes!S$47)*100000</f>
        <v>25.621772740396842</v>
      </c>
      <c r="T540" s="28">
        <f>(Fuentes!T1953/Fuentes!T$47)*100000</f>
        <v>27.610010023282555</v>
      </c>
      <c r="U540" s="28">
        <f>(Fuentes!U1953/Fuentes!U$47)*100000</f>
        <v>21.205609873140087</v>
      </c>
      <c r="V540" s="28">
        <f>(Fuentes!V1953/Fuentes!V$47)*100000</f>
        <v>18.426259079924691</v>
      </c>
    </row>
    <row r="541" spans="1:22" s="14" customFormat="1" ht="12.75" x14ac:dyDescent="0.2">
      <c r="A541" s="28" t="s">
        <v>3198</v>
      </c>
      <c r="B541" s="29" t="s">
        <v>3527</v>
      </c>
      <c r="C541" s="29">
        <f>(Fuentes!C1954/Fuentes!C$47)*100000</f>
        <v>26.72796279467579</v>
      </c>
      <c r="D541" s="30">
        <f>(Fuentes!D1954/Fuentes!D$47)*100000</f>
        <v>35.539092622463791</v>
      </c>
      <c r="E541" s="35">
        <f>(Fuentes!E1954/Fuentes!E$47)*100000</f>
        <v>55.414250735438344</v>
      </c>
      <c r="F541" s="28">
        <f>(Fuentes!F1954/Fuentes!F$47)*100000</f>
        <v>71.309623006040766</v>
      </c>
      <c r="G541" s="28">
        <f>(Fuentes!G1954/Fuentes!G$47)*100000</f>
        <v>55.879068062390907</v>
      </c>
      <c r="H541" s="36">
        <f>(Fuentes!H1954/Fuentes!H$47)*100000</f>
        <v>0</v>
      </c>
      <c r="I541" s="28">
        <f>(Fuentes!I1954/Fuentes!I$47)*100000</f>
        <v>0</v>
      </c>
      <c r="J541" s="28">
        <f>(Fuentes!J1954/Fuentes!J$47)*100000</f>
        <v>0</v>
      </c>
      <c r="K541" s="28">
        <f>(Fuentes!K1954/Fuentes!K$47)*100000</f>
        <v>0</v>
      </c>
      <c r="L541" s="28">
        <f>(Fuentes!L1954/Fuentes!L$47)*100000</f>
        <v>19.734470683235568</v>
      </c>
      <c r="M541" s="28">
        <f>(Fuentes!M1954/Fuentes!M$47)*100000</f>
        <v>27.878904976605096</v>
      </c>
      <c r="N541" s="28">
        <f>(Fuentes!N1954/Fuentes!N$47)*100000</f>
        <v>6.4240103812007758</v>
      </c>
      <c r="O541" s="28">
        <f>(Fuentes!O1954/Fuentes!O$47)*100000</f>
        <v>0.96723211055849911</v>
      </c>
      <c r="P541" s="28">
        <f>(Fuentes!P1954/Fuentes!P$47)*100000</f>
        <v>1.3154645159811966</v>
      </c>
      <c r="Q541" s="28">
        <f>(Fuentes!Q1954/Fuentes!Q$47)*100000</f>
        <v>1.9065101875733668</v>
      </c>
      <c r="R541" s="28">
        <f>(Fuentes!R1954/Fuentes!R$47)*100000</f>
        <v>4.449294290189596</v>
      </c>
      <c r="S541" s="28">
        <f>(Fuentes!S1954/Fuentes!S$47)*100000</f>
        <v>1.5336256628330114</v>
      </c>
      <c r="T541" s="28">
        <f>(Fuentes!T1954/Fuentes!T$47)*100000</f>
        <v>1.0712522190585472</v>
      </c>
      <c r="U541" s="28">
        <f>(Fuentes!U1954/Fuentes!U$47)*100000</f>
        <v>1.2991184182413813</v>
      </c>
      <c r="V541" s="28">
        <f>(Fuentes!V1954/Fuentes!V$47)*100000</f>
        <v>6.880191158598489</v>
      </c>
    </row>
    <row r="542" spans="1:22" s="14" customFormat="1" ht="12.75" x14ac:dyDescent="0.2">
      <c r="A542" s="28" t="s">
        <v>3198</v>
      </c>
      <c r="B542" s="29" t="s">
        <v>3528</v>
      </c>
      <c r="C542" s="29">
        <f>(Fuentes!C1955/Fuentes!C$47)*100000</f>
        <v>30.498284116436817</v>
      </c>
      <c r="D542" s="30">
        <f>(Fuentes!D1955/Fuentes!D$47)*100000</f>
        <v>32.883146198720944</v>
      </c>
      <c r="E542" s="35">
        <f>(Fuentes!E1955/Fuentes!E$47)*100000</f>
        <v>33.710957378759261</v>
      </c>
      <c r="F542" s="28">
        <f>(Fuentes!F1955/Fuentes!F$47)*100000</f>
        <v>33.183201371376555</v>
      </c>
      <c r="G542" s="28">
        <f>(Fuentes!G1955/Fuentes!G$47)*100000</f>
        <v>33.431097616637317</v>
      </c>
      <c r="H542" s="28">
        <f>(Fuentes!H1955/Fuentes!H$47)*100000</f>
        <v>39.262221344983736</v>
      </c>
      <c r="I542" s="28">
        <f>(Fuentes!I1955/Fuentes!I$47)*100000</f>
        <v>38.142818679510576</v>
      </c>
      <c r="J542" s="28">
        <f>(Fuentes!J1955/Fuentes!J$47)*100000</f>
        <v>39.351302532721711</v>
      </c>
      <c r="K542" s="28">
        <f>(Fuentes!K1955/Fuentes!K$47)*100000</f>
        <v>40.076383543478897</v>
      </c>
      <c r="L542" s="28">
        <f>(Fuentes!L1955/Fuentes!L$47)*100000</f>
        <v>35.463873053206775</v>
      </c>
      <c r="M542" s="28">
        <f>(Fuentes!M1955/Fuentes!M$47)*100000</f>
        <v>33.635545956742703</v>
      </c>
      <c r="N542" s="36">
        <f>(Fuentes!N1955/Fuentes!N$47)*100000</f>
        <v>27.198606664812775</v>
      </c>
      <c r="O542" s="28">
        <f>(Fuentes!O1955/Fuentes!O$47)*100000</f>
        <v>26.394689594796375</v>
      </c>
      <c r="P542" s="28">
        <f>(Fuentes!P1955/Fuentes!P$47)*100000</f>
        <v>24.123921849526134</v>
      </c>
      <c r="Q542" s="28">
        <f>(Fuentes!Q1955/Fuentes!Q$47)*100000</f>
        <v>25.790264185745212</v>
      </c>
      <c r="R542" s="28">
        <f>(Fuentes!R1955/Fuentes!R$47)*100000</f>
        <v>22.20508266685319</v>
      </c>
      <c r="S542" s="28">
        <f>(Fuentes!S1955/Fuentes!S$47)*100000</f>
        <v>20.509687197620142</v>
      </c>
      <c r="T542" s="28">
        <f>(Fuentes!T1955/Fuentes!T$47)*100000</f>
        <v>21.425044381170945</v>
      </c>
      <c r="U542" s="28">
        <f>(Fuentes!U1955/Fuentes!U$47)*100000</f>
        <v>17.807915548508781</v>
      </c>
      <c r="V542" s="28">
        <f>(Fuentes!V1955/Fuentes!V$47)*100000</f>
        <v>25.42507422401626</v>
      </c>
    </row>
    <row r="543" spans="1:22" s="14" customFormat="1" ht="12.75" x14ac:dyDescent="0.2">
      <c r="A543" s="28" t="s">
        <v>3198</v>
      </c>
      <c r="B543" s="29" t="s">
        <v>3529</v>
      </c>
      <c r="C543" s="29">
        <f>(Fuentes!C1956/Fuentes!C$47)*100000</f>
        <v>0</v>
      </c>
      <c r="D543" s="30">
        <f>(Fuentes!D1956/Fuentes!D$47)*100000</f>
        <v>0</v>
      </c>
      <c r="E543" s="35">
        <f>(Fuentes!E1956/Fuentes!E$47)*100000</f>
        <v>0</v>
      </c>
      <c r="F543" s="28">
        <f>(Fuentes!F1956/Fuentes!F$47)*100000</f>
        <v>0</v>
      </c>
      <c r="G543" s="28">
        <f>(Fuentes!G1956/Fuentes!G$47)*100000</f>
        <v>0</v>
      </c>
      <c r="H543" s="36">
        <f>(Fuentes!H1956/Fuentes!H$47)*100000</f>
        <v>0</v>
      </c>
      <c r="I543" s="28">
        <f>(Fuentes!I1956/Fuentes!I$47)*100000</f>
        <v>0</v>
      </c>
      <c r="J543" s="28">
        <f>(Fuentes!J1956/Fuentes!J$47)*100000</f>
        <v>0</v>
      </c>
      <c r="K543" s="28">
        <f>(Fuentes!K1956/Fuentes!K$47)*100000</f>
        <v>0</v>
      </c>
      <c r="L543" s="28">
        <f>(Fuentes!L1956/Fuentes!L$47)*100000</f>
        <v>0</v>
      </c>
      <c r="M543" s="28">
        <f>(Fuentes!M1956/Fuentes!M$47)*100000</f>
        <v>0</v>
      </c>
      <c r="N543" s="28">
        <f>(Fuentes!N1956/Fuentes!N$47)*100000</f>
        <v>0</v>
      </c>
      <c r="O543" s="28">
        <f>(Fuentes!O1956/Fuentes!O$47)*100000</f>
        <v>0</v>
      </c>
      <c r="P543" s="28">
        <f>(Fuentes!P1956/Fuentes!P$47)*100000</f>
        <v>2.0156311131969948</v>
      </c>
      <c r="Q543" s="28">
        <f>(Fuentes!Q1956/Fuentes!Q$47)*100000</f>
        <v>0.18855595261714614</v>
      </c>
      <c r="R543" s="28">
        <f>(Fuentes!R1956/Fuentes!R$47)*100000</f>
        <v>0.66222054551659104</v>
      </c>
      <c r="S543" s="28">
        <f>(Fuentes!S1956/Fuentes!S$47)*100000</f>
        <v>0.61345026513320466</v>
      </c>
      <c r="T543" s="28">
        <f>(Fuentes!T1956/Fuentes!T$47)*100000</f>
        <v>0.62658148661915025</v>
      </c>
      <c r="U543" s="28">
        <f>(Fuentes!U1956/Fuentes!U$47)*100000</f>
        <v>0.37974230687055766</v>
      </c>
      <c r="V543" s="28">
        <f>(Fuentes!V1956/Fuentes!V$47)*100000</f>
        <v>0.45472527772346338</v>
      </c>
    </row>
    <row r="544" spans="1:22" s="14" customFormat="1" ht="12.75" x14ac:dyDescent="0.2">
      <c r="A544" s="28" t="s">
        <v>3198</v>
      </c>
      <c r="B544" s="29" t="s">
        <v>3530</v>
      </c>
      <c r="C544" s="29">
        <f>(Fuentes!C1957/Fuentes!C$47)*100000</f>
        <v>0</v>
      </c>
      <c r="D544" s="30">
        <f>(Fuentes!D1957/Fuentes!D$47)*100000</f>
        <v>0</v>
      </c>
      <c r="E544" s="35">
        <f>(Fuentes!E1957/Fuentes!E$47)*100000</f>
        <v>0</v>
      </c>
      <c r="F544" s="28">
        <f>(Fuentes!F1957/Fuentes!F$47)*100000</f>
        <v>0</v>
      </c>
      <c r="G544" s="28">
        <f>(Fuentes!G1957/Fuentes!G$47)*100000</f>
        <v>0</v>
      </c>
      <c r="H544" s="28">
        <f>(Fuentes!H1957/Fuentes!H$47)*100000</f>
        <v>0</v>
      </c>
      <c r="I544" s="28">
        <f>(Fuentes!I1957/Fuentes!I$47)*100000</f>
        <v>0</v>
      </c>
      <c r="J544" s="28">
        <f>(Fuentes!J1957/Fuentes!J$47)*100000</f>
        <v>0</v>
      </c>
      <c r="K544" s="28">
        <f>(Fuentes!K1957/Fuentes!K$47)*100000</f>
        <v>0</v>
      </c>
      <c r="L544" s="28">
        <f>(Fuentes!L1957/Fuentes!L$47)*100000</f>
        <v>0</v>
      </c>
      <c r="M544" s="28">
        <f>(Fuentes!M1957/Fuentes!M$47)*100000</f>
        <v>0</v>
      </c>
      <c r="N544" s="36">
        <f>(Fuentes!N1957/Fuentes!N$47)*100000</f>
        <v>0</v>
      </c>
      <c r="O544" s="28">
        <f>(Fuentes!O1957/Fuentes!O$47)*100000</f>
        <v>0</v>
      </c>
      <c r="P544" s="28">
        <f>(Fuentes!P1957/Fuentes!P$47)*100000</f>
        <v>0</v>
      </c>
      <c r="Q544" s="28">
        <f>(Fuentes!Q1957/Fuentes!Q$47)*100000</f>
        <v>0</v>
      </c>
      <c r="R544" s="28">
        <f>(Fuentes!R1957/Fuentes!R$47)*100000</f>
        <v>0</v>
      </c>
      <c r="S544" s="28">
        <f>(Fuentes!S1957/Fuentes!S$47)*100000</f>
        <v>0</v>
      </c>
      <c r="T544" s="28">
        <f>(Fuentes!T1957/Fuentes!T$47)*100000</f>
        <v>0.10106153009986293</v>
      </c>
      <c r="U544" s="28">
        <f>(Fuentes!U1957/Fuentes!U$47)*100000</f>
        <v>7.9945748814854237E-2</v>
      </c>
      <c r="V544" s="28">
        <f>(Fuentes!V1957/Fuentes!V$47)*100000</f>
        <v>0.15816531399076986</v>
      </c>
    </row>
    <row r="545" spans="1:22" s="14" customFormat="1" ht="12.75" x14ac:dyDescent="0.2">
      <c r="A545" s="28" t="s">
        <v>3198</v>
      </c>
      <c r="B545" s="29" t="s">
        <v>3531</v>
      </c>
      <c r="C545" s="29">
        <f>(Fuentes!C1958/Fuentes!C$47)*100000</f>
        <v>0</v>
      </c>
      <c r="D545" s="30">
        <f>(Fuentes!D1958/Fuentes!D$47)*100000</f>
        <v>0</v>
      </c>
      <c r="E545" s="35">
        <f>(Fuentes!E1958/Fuentes!E$47)*100000</f>
        <v>0</v>
      </c>
      <c r="F545" s="28">
        <f>(Fuentes!F1958/Fuentes!F$47)*100000</f>
        <v>0</v>
      </c>
      <c r="G545" s="28">
        <f>(Fuentes!G1958/Fuentes!G$47)*100000</f>
        <v>0</v>
      </c>
      <c r="H545" s="36">
        <f>(Fuentes!H1958/Fuentes!H$47)*100000</f>
        <v>0</v>
      </c>
      <c r="I545" s="28">
        <f>(Fuentes!I1958/Fuentes!I$47)*100000</f>
        <v>0</v>
      </c>
      <c r="J545" s="28">
        <f>(Fuentes!J1958/Fuentes!J$47)*100000</f>
        <v>0</v>
      </c>
      <c r="K545" s="28">
        <f>(Fuentes!K1958/Fuentes!K$47)*100000</f>
        <v>0</v>
      </c>
      <c r="L545" s="28">
        <f>(Fuentes!L1958/Fuentes!L$47)*100000</f>
        <v>0</v>
      </c>
      <c r="M545" s="28">
        <f>(Fuentes!M1958/Fuentes!M$47)*100000</f>
        <v>0</v>
      </c>
      <c r="N545" s="28">
        <f>(Fuentes!N1958/Fuentes!N$47)*100000</f>
        <v>0</v>
      </c>
      <c r="O545" s="28">
        <f>(Fuentes!O1958/Fuentes!O$47)*100000</f>
        <v>0</v>
      </c>
      <c r="P545" s="28">
        <f>(Fuentes!P1958/Fuentes!P$47)*100000</f>
        <v>0</v>
      </c>
      <c r="Q545" s="28">
        <f>(Fuentes!Q1958/Fuentes!Q$47)*100000</f>
        <v>4.1901322803810259E-2</v>
      </c>
      <c r="R545" s="28">
        <f>(Fuentes!R1958/Fuentes!R$47)*100000</f>
        <v>0.24833270456872161</v>
      </c>
      <c r="S545" s="28">
        <f>(Fuentes!S1958/Fuentes!S$47)*100000</f>
        <v>0</v>
      </c>
      <c r="T545" s="28">
        <f>(Fuentes!T1958/Fuentes!T$47)*100000</f>
        <v>0</v>
      </c>
      <c r="U545" s="28">
        <f>(Fuentes!U1958/Fuentes!U$47)*100000</f>
        <v>0</v>
      </c>
      <c r="V545" s="28">
        <f>(Fuentes!V1958/Fuentes!V$47)*100000</f>
        <v>1.0873865336865429</v>
      </c>
    </row>
    <row r="546" spans="1:22" s="14" customFormat="1" ht="12.75" x14ac:dyDescent="0.2">
      <c r="A546" s="28" t="s">
        <v>3198</v>
      </c>
      <c r="B546" s="29" t="s">
        <v>3532</v>
      </c>
      <c r="C546" s="29">
        <f>(Fuentes!C1959/Fuentes!C$47)*100000</f>
        <v>0</v>
      </c>
      <c r="D546" s="30">
        <f>(Fuentes!D1959/Fuentes!D$47)*100000</f>
        <v>0</v>
      </c>
      <c r="E546" s="35">
        <f>(Fuentes!E1959/Fuentes!E$47)*100000</f>
        <v>0</v>
      </c>
      <c r="F546" s="28">
        <f>(Fuentes!F1959/Fuentes!F$47)*100000</f>
        <v>0</v>
      </c>
      <c r="G546" s="28">
        <f>(Fuentes!G1959/Fuentes!G$47)*100000</f>
        <v>0</v>
      </c>
      <c r="H546" s="28">
        <f>(Fuentes!H1959/Fuentes!H$47)*100000</f>
        <v>0</v>
      </c>
      <c r="I546" s="28">
        <f>(Fuentes!I1959/Fuentes!I$47)*100000</f>
        <v>0</v>
      </c>
      <c r="J546" s="28">
        <f>(Fuentes!J1959/Fuentes!J$47)*100000</f>
        <v>0</v>
      </c>
      <c r="K546" s="28">
        <f>(Fuentes!K1959/Fuentes!K$47)*100000</f>
        <v>0</v>
      </c>
      <c r="L546" s="28">
        <f>(Fuentes!L1959/Fuentes!L$47)*100000</f>
        <v>0</v>
      </c>
      <c r="M546" s="28">
        <f>(Fuentes!M1959/Fuentes!M$47)*100000</f>
        <v>0</v>
      </c>
      <c r="N546" s="36">
        <f>(Fuentes!N1959/Fuentes!N$47)*100000</f>
        <v>0</v>
      </c>
      <c r="O546" s="28">
        <f>(Fuentes!O1959/Fuentes!O$47)*100000</f>
        <v>0</v>
      </c>
      <c r="P546" s="28">
        <f>(Fuentes!P1959/Fuentes!P$47)*100000</f>
        <v>0</v>
      </c>
      <c r="Q546" s="28">
        <f>(Fuentes!Q1959/Fuentes!Q$47)*100000</f>
        <v>4.1901322803810259E-2</v>
      </c>
      <c r="R546" s="28">
        <f>(Fuentes!R1959/Fuentes!R$47)*100000</f>
        <v>0.16555513637914776</v>
      </c>
      <c r="S546" s="28">
        <f>(Fuentes!S1959/Fuentes!S$47)*100000</f>
        <v>0</v>
      </c>
      <c r="T546" s="28">
        <f>(Fuentes!T1959/Fuentes!T$47)*100000</f>
        <v>0.24254767223967102</v>
      </c>
      <c r="U546" s="28">
        <f>(Fuentes!U1959/Fuentes!U$47)*100000</f>
        <v>0.23983724644456272</v>
      </c>
      <c r="V546" s="28">
        <f>(Fuentes!V1959/Fuentes!V$47)*100000</f>
        <v>0.43495461347461711</v>
      </c>
    </row>
    <row r="547" spans="1:22" s="14" customFormat="1" ht="12.75" x14ac:dyDescent="0.2">
      <c r="A547" s="28" t="s">
        <v>3198</v>
      </c>
      <c r="B547" s="29" t="s">
        <v>3533</v>
      </c>
      <c r="C547" s="29">
        <f>(Fuentes!C1960/Fuentes!C$47)*100000</f>
        <v>0</v>
      </c>
      <c r="D547" s="30">
        <f>(Fuentes!D1960/Fuentes!D$47)*100000</f>
        <v>0</v>
      </c>
      <c r="E547" s="35">
        <f>(Fuentes!E1960/Fuentes!E$47)*100000</f>
        <v>0</v>
      </c>
      <c r="F547" s="28">
        <f>(Fuentes!F1960/Fuentes!F$47)*100000</f>
        <v>0</v>
      </c>
      <c r="G547" s="28">
        <f>(Fuentes!G1960/Fuentes!G$47)*100000</f>
        <v>0</v>
      </c>
      <c r="H547" s="36">
        <f>(Fuentes!H1960/Fuentes!H$47)*100000</f>
        <v>0</v>
      </c>
      <c r="I547" s="28">
        <f>(Fuentes!I1960/Fuentes!I$47)*100000</f>
        <v>0</v>
      </c>
      <c r="J547" s="28">
        <f>(Fuentes!J1960/Fuentes!J$47)*100000</f>
        <v>0</v>
      </c>
      <c r="K547" s="28">
        <f>(Fuentes!K1960/Fuentes!K$47)*100000</f>
        <v>0</v>
      </c>
      <c r="L547" s="28">
        <f>(Fuentes!L1960/Fuentes!L$47)*100000</f>
        <v>0</v>
      </c>
      <c r="M547" s="28">
        <f>(Fuentes!M1960/Fuentes!M$47)*100000</f>
        <v>0</v>
      </c>
      <c r="N547" s="28">
        <f>(Fuentes!N1960/Fuentes!N$47)*100000</f>
        <v>0</v>
      </c>
      <c r="O547" s="28">
        <f>(Fuentes!O1960/Fuentes!O$47)*100000</f>
        <v>0</v>
      </c>
      <c r="P547" s="28">
        <f>(Fuentes!P1960/Fuentes!P$47)*100000</f>
        <v>0</v>
      </c>
      <c r="Q547" s="28">
        <f>(Fuentes!Q1960/Fuentes!Q$47)*100000</f>
        <v>2.095066140190513E-2</v>
      </c>
      <c r="R547" s="28">
        <f>(Fuentes!R1960/Fuentes!R$47)*100000</f>
        <v>0.24833270456872161</v>
      </c>
      <c r="S547" s="28">
        <f>(Fuentes!S1960/Fuentes!S$47)*100000</f>
        <v>0</v>
      </c>
      <c r="T547" s="28">
        <f>(Fuentes!T1960/Fuentes!T$47)*100000</f>
        <v>0.58615687457920507</v>
      </c>
      <c r="U547" s="28">
        <f>(Fuentes!U1960/Fuentes!U$47)*100000</f>
        <v>0.57960667890769324</v>
      </c>
      <c r="V547" s="28">
        <f>(Fuentes!V1960/Fuentes!V$47)*100000</f>
        <v>0.85013856270038812</v>
      </c>
    </row>
    <row r="548" spans="1:22" s="14" customFormat="1" ht="12.75" x14ac:dyDescent="0.2">
      <c r="A548" s="28" t="s">
        <v>3198</v>
      </c>
      <c r="B548" s="29" t="s">
        <v>3534</v>
      </c>
      <c r="C548" s="29">
        <f>(Fuentes!C1961/Fuentes!C$47)*100000</f>
        <v>0</v>
      </c>
      <c r="D548" s="30">
        <f>(Fuentes!D1961/Fuentes!D$47)*100000</f>
        <v>0</v>
      </c>
      <c r="E548" s="35">
        <f>(Fuentes!E1961/Fuentes!E$47)*100000</f>
        <v>0</v>
      </c>
      <c r="F548" s="28">
        <f>(Fuentes!F1961/Fuentes!F$47)*100000</f>
        <v>0</v>
      </c>
      <c r="G548" s="28">
        <f>(Fuentes!G1961/Fuentes!G$47)*100000</f>
        <v>0</v>
      </c>
      <c r="H548" s="28">
        <f>(Fuentes!H1961/Fuentes!H$47)*100000</f>
        <v>0</v>
      </c>
      <c r="I548" s="28">
        <f>(Fuentes!I1961/Fuentes!I$47)*100000</f>
        <v>0</v>
      </c>
      <c r="J548" s="28">
        <f>(Fuentes!J1961/Fuentes!J$47)*100000</f>
        <v>0</v>
      </c>
      <c r="K548" s="28">
        <f>(Fuentes!K1961/Fuentes!K$47)*100000</f>
        <v>0</v>
      </c>
      <c r="L548" s="28">
        <f>(Fuentes!L1961/Fuentes!L$47)*100000</f>
        <v>0</v>
      </c>
      <c r="M548" s="28">
        <f>(Fuentes!M1961/Fuentes!M$47)*100000</f>
        <v>0</v>
      </c>
      <c r="N548" s="36">
        <f>(Fuentes!N1961/Fuentes!N$47)*100000</f>
        <v>0</v>
      </c>
      <c r="O548" s="28">
        <f>(Fuentes!O1961/Fuentes!O$47)*100000</f>
        <v>0</v>
      </c>
      <c r="P548" s="28">
        <f>(Fuentes!P1961/Fuentes!P$47)*100000</f>
        <v>0</v>
      </c>
      <c r="Q548" s="28">
        <f>(Fuentes!Q1961/Fuentes!Q$47)*100000</f>
        <v>0.31425992102857692</v>
      </c>
      <c r="R548" s="28">
        <f>(Fuentes!R1961/Fuentes!R$47)*100000</f>
        <v>0.26902709661611507</v>
      </c>
      <c r="S548" s="28">
        <f>(Fuentes!S1961/Fuentes!S$47)*100000</f>
        <v>0.69524363381763188</v>
      </c>
      <c r="T548" s="28">
        <f>(Fuentes!T1961/Fuentes!T$47)*100000</f>
        <v>0.36382150835950661</v>
      </c>
      <c r="U548" s="28">
        <f>(Fuentes!U1961/Fuentes!U$47)*100000</f>
        <v>0.57960667890769324</v>
      </c>
      <c r="V548" s="28">
        <f>(Fuentes!V1961/Fuentes!V$47)*100000</f>
        <v>0.69197324870961818</v>
      </c>
    </row>
    <row r="549" spans="1:22" s="14" customFormat="1" ht="12.75" x14ac:dyDescent="0.2">
      <c r="A549" s="28" t="s">
        <v>3198</v>
      </c>
      <c r="B549" s="29" t="s">
        <v>3535</v>
      </c>
      <c r="C549" s="29">
        <f>(Fuentes!C1962/Fuentes!C$47)*100000</f>
        <v>0</v>
      </c>
      <c r="D549" s="30">
        <f>(Fuentes!D1962/Fuentes!D$47)*100000</f>
        <v>0</v>
      </c>
      <c r="E549" s="35">
        <f>(Fuentes!E1962/Fuentes!E$47)*100000</f>
        <v>0</v>
      </c>
      <c r="F549" s="28">
        <f>(Fuentes!F1962/Fuentes!F$47)*100000</f>
        <v>0</v>
      </c>
      <c r="G549" s="28">
        <f>(Fuentes!G1962/Fuentes!G$47)*100000</f>
        <v>0</v>
      </c>
      <c r="H549" s="36">
        <f>(Fuentes!H1962/Fuentes!H$47)*100000</f>
        <v>0</v>
      </c>
      <c r="I549" s="28">
        <f>(Fuentes!I1962/Fuentes!I$47)*100000</f>
        <v>0</v>
      </c>
      <c r="J549" s="28">
        <f>(Fuentes!J1962/Fuentes!J$47)*100000</f>
        <v>0</v>
      </c>
      <c r="K549" s="28">
        <f>(Fuentes!K1962/Fuentes!K$47)*100000</f>
        <v>0</v>
      </c>
      <c r="L549" s="28">
        <f>(Fuentes!L1962/Fuentes!L$47)*100000</f>
        <v>0</v>
      </c>
      <c r="M549" s="28">
        <f>(Fuentes!M1962/Fuentes!M$47)*100000</f>
        <v>0</v>
      </c>
      <c r="N549" s="28">
        <f>(Fuentes!N1962/Fuentes!N$47)*100000</f>
        <v>0</v>
      </c>
      <c r="O549" s="28">
        <f>(Fuentes!O1962/Fuentes!O$47)*100000</f>
        <v>0</v>
      </c>
      <c r="P549" s="28">
        <f>(Fuentes!P1962/Fuentes!P$47)*100000</f>
        <v>2.1217169612599944E-2</v>
      </c>
      <c r="Q549" s="28">
        <f>(Fuentes!Q1962/Fuentes!Q$47)*100000</f>
        <v>2.095066140190513E-2</v>
      </c>
      <c r="R549" s="28">
        <f>(Fuentes!R1962/Fuentes!R$47)*100000</f>
        <v>0</v>
      </c>
      <c r="S549" s="28">
        <f>(Fuentes!S1962/Fuentes!S$47)*100000</f>
        <v>0</v>
      </c>
      <c r="T549" s="28">
        <f>(Fuentes!T1962/Fuentes!T$47)*100000</f>
        <v>0</v>
      </c>
      <c r="U549" s="28">
        <f>(Fuentes!U1962/Fuentes!U$47)*100000</f>
        <v>0</v>
      </c>
      <c r="V549" s="28">
        <f>(Fuentes!V1962/Fuentes!V$47)*100000</f>
        <v>0</v>
      </c>
    </row>
    <row r="550" spans="1:22" s="14" customFormat="1" ht="12.75" x14ac:dyDescent="0.2">
      <c r="A550" s="28" t="s">
        <v>3198</v>
      </c>
      <c r="B550" s="29" t="s">
        <v>3536</v>
      </c>
      <c r="C550" s="29">
        <f>(Fuentes!C1963/Fuentes!C$47)*100000</f>
        <v>0</v>
      </c>
      <c r="D550" s="30">
        <f>(Fuentes!D1963/Fuentes!D$47)*100000</f>
        <v>0</v>
      </c>
      <c r="E550" s="35">
        <f>(Fuentes!E1963/Fuentes!E$47)*100000</f>
        <v>0</v>
      </c>
      <c r="F550" s="28">
        <f>(Fuentes!F1963/Fuentes!F$47)*100000</f>
        <v>0</v>
      </c>
      <c r="G550" s="28">
        <f>(Fuentes!G1963/Fuentes!G$47)*100000</f>
        <v>0</v>
      </c>
      <c r="H550" s="28">
        <f>(Fuentes!H1963/Fuentes!H$47)*100000</f>
        <v>0</v>
      </c>
      <c r="I550" s="28">
        <f>(Fuentes!I1963/Fuentes!I$47)*100000</f>
        <v>0</v>
      </c>
      <c r="J550" s="28">
        <f>(Fuentes!J1963/Fuentes!J$47)*100000</f>
        <v>0</v>
      </c>
      <c r="K550" s="28">
        <f>(Fuentes!K1963/Fuentes!K$47)*100000</f>
        <v>0</v>
      </c>
      <c r="L550" s="28">
        <f>(Fuentes!L1963/Fuentes!L$47)*100000</f>
        <v>0</v>
      </c>
      <c r="M550" s="28">
        <f>(Fuentes!M1963/Fuentes!M$47)*100000</f>
        <v>0</v>
      </c>
      <c r="N550" s="36">
        <f>(Fuentes!N1963/Fuentes!N$47)*100000</f>
        <v>0</v>
      </c>
      <c r="O550" s="28">
        <f>(Fuentes!O1963/Fuentes!O$47)*100000</f>
        <v>0</v>
      </c>
      <c r="P550" s="28">
        <f>(Fuentes!P1963/Fuentes!P$47)*100000</f>
        <v>6.3651508837799825E-2</v>
      </c>
      <c r="Q550" s="28">
        <f>(Fuentes!Q1963/Fuentes!Q$47)*100000</f>
        <v>4.1901322803810259E-2</v>
      </c>
      <c r="R550" s="28">
        <f>(Fuentes!R1963/Fuentes!R$47)*100000</f>
        <v>4.138878409478694E-2</v>
      </c>
      <c r="S550" s="28">
        <f>(Fuentes!S1963/Fuentes!S$47)*100000</f>
        <v>0.22493176388217503</v>
      </c>
      <c r="T550" s="28">
        <f>(Fuentes!T1963/Fuentes!T$47)*100000</f>
        <v>0.1819107541797533</v>
      </c>
      <c r="U550" s="28">
        <f>(Fuentes!U1963/Fuentes!U$47)*100000</f>
        <v>0.17987793483342204</v>
      </c>
      <c r="V550" s="28">
        <f>(Fuentes!V1963/Fuentes!V$47)*100000</f>
        <v>0.1779359782396161</v>
      </c>
    </row>
    <row r="551" spans="1:22" s="14" customFormat="1" ht="12.75" x14ac:dyDescent="0.2">
      <c r="A551" s="28" t="s">
        <v>3198</v>
      </c>
      <c r="B551" s="29" t="s">
        <v>3537</v>
      </c>
      <c r="C551" s="29">
        <f>(Fuentes!C1964/Fuentes!C$47)*100000</f>
        <v>0</v>
      </c>
      <c r="D551" s="30">
        <f>(Fuentes!D1964/Fuentes!D$47)*100000</f>
        <v>0</v>
      </c>
      <c r="E551" s="35">
        <f>(Fuentes!E1964/Fuentes!E$47)*100000</f>
        <v>0</v>
      </c>
      <c r="F551" s="28">
        <f>(Fuentes!F1964/Fuentes!F$47)*100000</f>
        <v>0</v>
      </c>
      <c r="G551" s="28">
        <f>(Fuentes!G1964/Fuentes!G$47)*100000</f>
        <v>0</v>
      </c>
      <c r="H551" s="36">
        <f>(Fuentes!H1964/Fuentes!H$47)*100000</f>
        <v>0</v>
      </c>
      <c r="I551" s="28">
        <f>(Fuentes!I1964/Fuentes!I$47)*100000</f>
        <v>0</v>
      </c>
      <c r="J551" s="28">
        <f>(Fuentes!J1964/Fuentes!J$47)*100000</f>
        <v>0</v>
      </c>
      <c r="K551" s="28">
        <f>(Fuentes!K1964/Fuentes!K$47)*100000</f>
        <v>0</v>
      </c>
      <c r="L551" s="28">
        <f>(Fuentes!L1964/Fuentes!L$47)*100000</f>
        <v>0</v>
      </c>
      <c r="M551" s="28">
        <f>(Fuentes!M1964/Fuentes!M$47)*100000</f>
        <v>0</v>
      </c>
      <c r="N551" s="28">
        <f>(Fuentes!N1964/Fuentes!N$47)*100000</f>
        <v>0</v>
      </c>
      <c r="O551" s="28">
        <f>(Fuentes!O1964/Fuentes!O$47)*100000</f>
        <v>0</v>
      </c>
      <c r="P551" s="28">
        <f>(Fuentes!P1964/Fuentes!P$47)*100000</f>
        <v>0</v>
      </c>
      <c r="Q551" s="28">
        <f>(Fuentes!Q1964/Fuentes!Q$47)*100000</f>
        <v>2.095066140190513E-2</v>
      </c>
      <c r="R551" s="28">
        <f>(Fuentes!R1964/Fuentes!R$47)*100000</f>
        <v>6.2083176142180403E-2</v>
      </c>
      <c r="S551" s="28">
        <f>(Fuentes!S1964/Fuentes!S$47)*100000</f>
        <v>0.1022417108555341</v>
      </c>
      <c r="T551" s="28">
        <f>(Fuentes!T1964/Fuentes!T$47)*100000</f>
        <v>0</v>
      </c>
      <c r="U551" s="28">
        <f>(Fuentes!U1964/Fuentes!U$47)*100000</f>
        <v>0</v>
      </c>
      <c r="V551" s="28">
        <f>(Fuentes!V1964/Fuentes!V$47)*100000</f>
        <v>0.11862398549307739</v>
      </c>
    </row>
    <row r="552" spans="1:22" s="14" customFormat="1" ht="12.75" x14ac:dyDescent="0.2">
      <c r="A552" s="28" t="s">
        <v>3198</v>
      </c>
      <c r="B552" s="29" t="s">
        <v>3538</v>
      </c>
      <c r="C552" s="29">
        <f>(Fuentes!C1965/Fuentes!C$47)*100000</f>
        <v>0</v>
      </c>
      <c r="D552" s="30">
        <f>(Fuentes!D1965/Fuentes!D$47)*100000</f>
        <v>0</v>
      </c>
      <c r="E552" s="35">
        <f>(Fuentes!E1965/Fuentes!E$47)*100000</f>
        <v>0</v>
      </c>
      <c r="F552" s="28">
        <f>(Fuentes!F1965/Fuentes!F$47)*100000</f>
        <v>0</v>
      </c>
      <c r="G552" s="28">
        <f>(Fuentes!G1965/Fuentes!G$47)*100000</f>
        <v>0</v>
      </c>
      <c r="H552" s="28">
        <f>(Fuentes!H1965/Fuentes!H$47)*100000</f>
        <v>0</v>
      </c>
      <c r="I552" s="28">
        <f>(Fuentes!I1965/Fuentes!I$47)*100000</f>
        <v>0</v>
      </c>
      <c r="J552" s="28">
        <f>(Fuentes!J1965/Fuentes!J$47)*100000</f>
        <v>0</v>
      </c>
      <c r="K552" s="28">
        <f>(Fuentes!K1965/Fuentes!K$47)*100000</f>
        <v>0</v>
      </c>
      <c r="L552" s="28">
        <f>(Fuentes!L1965/Fuentes!L$47)*100000</f>
        <v>0</v>
      </c>
      <c r="M552" s="28">
        <f>(Fuentes!M1965/Fuentes!M$47)*100000</f>
        <v>0</v>
      </c>
      <c r="N552" s="36">
        <f>(Fuentes!N1965/Fuentes!N$47)*100000</f>
        <v>0</v>
      </c>
      <c r="O552" s="28">
        <f>(Fuentes!O1965/Fuentes!O$47)*100000</f>
        <v>0.92424401675589918</v>
      </c>
      <c r="P552" s="28">
        <f>(Fuentes!P1965/Fuentes!P$47)*100000</f>
        <v>0.46677773147719875</v>
      </c>
      <c r="Q552" s="28">
        <f>(Fuentes!Q1965/Fuentes!Q$47)*100000</f>
        <v>1.3617929911238333</v>
      </c>
      <c r="R552" s="28">
        <f>(Fuentes!R1965/Fuentes!R$47)*100000</f>
        <v>2.02805042064456</v>
      </c>
      <c r="S552" s="28">
        <f>(Fuentes!S1965/Fuentes!S$47)*100000</f>
        <v>2.3311110075061774</v>
      </c>
      <c r="T552" s="28">
        <f>(Fuentes!T1965/Fuentes!T$47)*100000</f>
        <v>3.1126951270757783</v>
      </c>
      <c r="U552" s="28">
        <f>(Fuentes!U1965/Fuentes!U$47)*100000</f>
        <v>2.7381418969087576</v>
      </c>
      <c r="V552" s="28">
        <f>(Fuentes!V1965/Fuentes!V$47)*100000</f>
        <v>4.4681701202392494</v>
      </c>
    </row>
    <row r="553" spans="1:22" s="14" customFormat="1" ht="12.75" x14ac:dyDescent="0.2">
      <c r="A553" s="28" t="s">
        <v>3198</v>
      </c>
      <c r="B553" s="29" t="s">
        <v>3539</v>
      </c>
      <c r="C553" s="29">
        <f>(Fuentes!C1966/Fuentes!C$47)*100000</f>
        <v>0</v>
      </c>
      <c r="D553" s="30">
        <f>(Fuentes!D1966/Fuentes!D$47)*100000</f>
        <v>0</v>
      </c>
      <c r="E553" s="35">
        <f>(Fuentes!E1966/Fuentes!E$47)*100000</f>
        <v>0</v>
      </c>
      <c r="F553" s="28">
        <f>(Fuentes!F1966/Fuentes!F$47)*100000</f>
        <v>0</v>
      </c>
      <c r="G553" s="28">
        <f>(Fuentes!G1966/Fuentes!G$47)*100000</f>
        <v>0</v>
      </c>
      <c r="H553" s="36">
        <f>(Fuentes!H1966/Fuentes!H$47)*100000</f>
        <v>0</v>
      </c>
      <c r="I553" s="28">
        <f>(Fuentes!I1966/Fuentes!I$47)*100000</f>
        <v>0</v>
      </c>
      <c r="J553" s="28">
        <f>(Fuentes!J1966/Fuentes!J$47)*100000</f>
        <v>0</v>
      </c>
      <c r="K553" s="28">
        <f>(Fuentes!K1966/Fuentes!K$47)*100000</f>
        <v>0</v>
      </c>
      <c r="L553" s="28">
        <f>(Fuentes!L1966/Fuentes!L$47)*100000</f>
        <v>0</v>
      </c>
      <c r="M553" s="28">
        <f>(Fuentes!M1966/Fuentes!M$47)*100000</f>
        <v>0</v>
      </c>
      <c r="N553" s="28">
        <f>(Fuentes!N1966/Fuentes!N$47)*100000</f>
        <v>0</v>
      </c>
      <c r="O553" s="28">
        <f>(Fuentes!O1966/Fuentes!O$47)*100000</f>
        <v>0</v>
      </c>
      <c r="P553" s="28">
        <f>(Fuentes!P1966/Fuentes!P$47)*100000</f>
        <v>0</v>
      </c>
      <c r="Q553" s="28">
        <f>(Fuentes!Q1966/Fuentes!Q$47)*100000</f>
        <v>0</v>
      </c>
      <c r="R553" s="28">
        <f>(Fuentes!R1966/Fuentes!R$47)*100000</f>
        <v>4.138878409478694E-2</v>
      </c>
      <c r="S553" s="28">
        <f>(Fuentes!S1966/Fuentes!S$47)*100000</f>
        <v>2.0448342171106821E-2</v>
      </c>
      <c r="T553" s="28">
        <f>(Fuentes!T1966/Fuentes!T$47)*100000</f>
        <v>0</v>
      </c>
      <c r="U553" s="28">
        <f>(Fuentes!U1966/Fuentes!U$47)*100000</f>
        <v>0</v>
      </c>
      <c r="V553" s="28">
        <f>(Fuentes!V1966/Fuentes!V$47)*100000</f>
        <v>3.9541328497692464E-2</v>
      </c>
    </row>
    <row r="554" spans="1:22" s="14" customFormat="1" ht="12.75" x14ac:dyDescent="0.2">
      <c r="A554" s="28" t="s">
        <v>3198</v>
      </c>
      <c r="B554" s="29" t="s">
        <v>3540</v>
      </c>
      <c r="C554" s="29">
        <f>(Fuentes!C1967/Fuentes!C$47)*100000</f>
        <v>0</v>
      </c>
      <c r="D554" s="30">
        <f>(Fuentes!D1967/Fuentes!D$47)*100000</f>
        <v>0</v>
      </c>
      <c r="E554" s="35">
        <f>(Fuentes!E1967/Fuentes!E$47)*100000</f>
        <v>0</v>
      </c>
      <c r="F554" s="28">
        <f>(Fuentes!F1967/Fuentes!F$47)*100000</f>
        <v>0</v>
      </c>
      <c r="G554" s="28">
        <f>(Fuentes!G1967/Fuentes!G$47)*100000</f>
        <v>0</v>
      </c>
      <c r="H554" s="28">
        <f>(Fuentes!H1967/Fuentes!H$47)*100000</f>
        <v>0</v>
      </c>
      <c r="I554" s="28">
        <f>(Fuentes!I1967/Fuentes!I$47)*100000</f>
        <v>0</v>
      </c>
      <c r="J554" s="28">
        <f>(Fuentes!J1967/Fuentes!J$47)*100000</f>
        <v>0</v>
      </c>
      <c r="K554" s="28">
        <f>(Fuentes!K1967/Fuentes!K$47)*100000</f>
        <v>0</v>
      </c>
      <c r="L554" s="28">
        <f>(Fuentes!L1967/Fuentes!L$47)*100000</f>
        <v>0</v>
      </c>
      <c r="M554" s="28">
        <f>(Fuentes!M1967/Fuentes!M$47)*100000</f>
        <v>0</v>
      </c>
      <c r="N554" s="36">
        <f>(Fuentes!N1967/Fuentes!N$47)*100000</f>
        <v>0</v>
      </c>
      <c r="O554" s="28">
        <f>(Fuentes!O1967/Fuentes!O$47)*100000</f>
        <v>0</v>
      </c>
      <c r="P554" s="28">
        <f>(Fuentes!P1967/Fuentes!P$47)*100000</f>
        <v>0</v>
      </c>
      <c r="Q554" s="28">
        <f>(Fuentes!Q1967/Fuentes!Q$47)*100000</f>
        <v>6.2851984205715389E-2</v>
      </c>
      <c r="R554" s="28">
        <f>(Fuentes!R1967/Fuentes!R$47)*100000</f>
        <v>0.28972148866350855</v>
      </c>
      <c r="S554" s="28">
        <f>(Fuentes!S1967/Fuentes!S$47)*100000</f>
        <v>0</v>
      </c>
      <c r="T554" s="28">
        <f>(Fuentes!T1967/Fuentes!T$47)*100000</f>
        <v>0.36382150835950661</v>
      </c>
      <c r="U554" s="28">
        <f>(Fuentes!U1967/Fuentes!U$47)*100000</f>
        <v>0</v>
      </c>
      <c r="V554" s="28">
        <f>(Fuentes!V1967/Fuentes!V$47)*100000</f>
        <v>0.593119927465387</v>
      </c>
    </row>
    <row r="555" spans="1:22" s="14" customFormat="1" ht="12.75" x14ac:dyDescent="0.2">
      <c r="A555" s="28" t="s">
        <v>3198</v>
      </c>
      <c r="B555" s="29" t="s">
        <v>3541</v>
      </c>
      <c r="C555" s="29">
        <f>(Fuentes!C1968/Fuentes!C$47)*100000</f>
        <v>0</v>
      </c>
      <c r="D555" s="30">
        <f>(Fuentes!D1968/Fuentes!D$47)*100000</f>
        <v>0</v>
      </c>
      <c r="E555" s="35">
        <f>(Fuentes!E1968/Fuentes!E$47)*100000</f>
        <v>0</v>
      </c>
      <c r="F555" s="28">
        <f>(Fuentes!F1968/Fuentes!F$47)*100000</f>
        <v>0</v>
      </c>
      <c r="G555" s="28">
        <f>(Fuentes!G1968/Fuentes!G$47)*100000</f>
        <v>0</v>
      </c>
      <c r="H555" s="36">
        <f>(Fuentes!H1968/Fuentes!H$47)*100000</f>
        <v>0</v>
      </c>
      <c r="I555" s="28">
        <f>(Fuentes!I1968/Fuentes!I$47)*100000</f>
        <v>0</v>
      </c>
      <c r="J555" s="28">
        <f>(Fuentes!J1968/Fuentes!J$47)*100000</f>
        <v>0</v>
      </c>
      <c r="K555" s="28">
        <f>(Fuentes!K1968/Fuentes!K$47)*100000</f>
        <v>0</v>
      </c>
      <c r="L555" s="28">
        <f>(Fuentes!L1968/Fuentes!L$47)*100000</f>
        <v>0</v>
      </c>
      <c r="M555" s="28">
        <f>(Fuentes!M1968/Fuentes!M$47)*100000</f>
        <v>0</v>
      </c>
      <c r="N555" s="28">
        <f>(Fuentes!N1968/Fuentes!N$47)*100000</f>
        <v>0</v>
      </c>
      <c r="O555" s="28">
        <f>(Fuentes!O1968/Fuentes!O$47)*100000</f>
        <v>0</v>
      </c>
      <c r="P555" s="28">
        <f>(Fuentes!P1968/Fuentes!P$47)*100000</f>
        <v>0</v>
      </c>
      <c r="Q555" s="28">
        <f>(Fuentes!Q1968/Fuentes!Q$47)*100000</f>
        <v>8.3802645607620518E-2</v>
      </c>
      <c r="R555" s="28">
        <f>(Fuentes!R1968/Fuentes!R$47)*100000</f>
        <v>6.2083176142180403E-2</v>
      </c>
      <c r="S555" s="28">
        <f>(Fuentes!S1968/Fuentes!S$47)*100000</f>
        <v>0</v>
      </c>
      <c r="T555" s="28">
        <f>(Fuentes!T1968/Fuentes!T$47)*100000</f>
        <v>6.0636918059917756E-2</v>
      </c>
      <c r="U555" s="28">
        <f>(Fuentes!U1968/Fuentes!U$47)*100000</f>
        <v>0.11991862322228136</v>
      </c>
      <c r="V555" s="28">
        <f>(Fuentes!V1968/Fuentes!V$47)*100000</f>
        <v>0.25701863523500107</v>
      </c>
    </row>
    <row r="556" spans="1:22" s="14" customFormat="1" ht="12.75" x14ac:dyDescent="0.2">
      <c r="A556" s="28" t="s">
        <v>3198</v>
      </c>
      <c r="B556" s="29" t="s">
        <v>3542</v>
      </c>
      <c r="C556" s="29">
        <f>(Fuentes!C1969/Fuentes!C$47)*100000</f>
        <v>0</v>
      </c>
      <c r="D556" s="30">
        <f>(Fuentes!D1969/Fuentes!D$47)*100000</f>
        <v>0</v>
      </c>
      <c r="E556" s="35">
        <f>(Fuentes!E1969/Fuentes!E$47)*100000</f>
        <v>0</v>
      </c>
      <c r="F556" s="28">
        <f>(Fuentes!F1969/Fuentes!F$47)*100000</f>
        <v>0</v>
      </c>
      <c r="G556" s="28">
        <f>(Fuentes!G1969/Fuentes!G$47)*100000</f>
        <v>0</v>
      </c>
      <c r="H556" s="28">
        <f>(Fuentes!H1969/Fuentes!H$47)*100000</f>
        <v>0</v>
      </c>
      <c r="I556" s="28">
        <f>(Fuentes!I1969/Fuentes!I$47)*100000</f>
        <v>0</v>
      </c>
      <c r="J556" s="28">
        <f>(Fuentes!J1969/Fuentes!J$47)*100000</f>
        <v>0</v>
      </c>
      <c r="K556" s="28">
        <f>(Fuentes!K1969/Fuentes!K$47)*100000</f>
        <v>0</v>
      </c>
      <c r="L556" s="28">
        <f>(Fuentes!L1969/Fuentes!L$47)*100000</f>
        <v>0</v>
      </c>
      <c r="M556" s="28">
        <f>(Fuentes!M1969/Fuentes!M$47)*100000</f>
        <v>0</v>
      </c>
      <c r="N556" s="36">
        <f>(Fuentes!N1969/Fuentes!N$47)*100000</f>
        <v>0</v>
      </c>
      <c r="O556" s="28">
        <f>(Fuentes!O1969/Fuentes!O$47)*100000</f>
        <v>0</v>
      </c>
      <c r="P556" s="28">
        <f>(Fuentes!P1969/Fuentes!P$47)*100000</f>
        <v>8.4868678450399776E-2</v>
      </c>
      <c r="Q556" s="28">
        <f>(Fuentes!Q1969/Fuentes!Q$47)*100000</f>
        <v>0</v>
      </c>
      <c r="R556" s="28">
        <f>(Fuentes!R1969/Fuentes!R$47)*100000</f>
        <v>8.277756818957388E-2</v>
      </c>
      <c r="S556" s="28">
        <f>(Fuentes!S1969/Fuentes!S$47)*100000</f>
        <v>0.2044834217110682</v>
      </c>
      <c r="T556" s="28">
        <f>(Fuentes!T1969/Fuentes!T$47)*100000</f>
        <v>0.22233536621969846</v>
      </c>
      <c r="U556" s="28">
        <f>(Fuentes!U1969/Fuentes!U$47)*100000</f>
        <v>2.0386165947787829</v>
      </c>
      <c r="V556" s="28">
        <f>(Fuentes!V1969/Fuentes!V$47)*100000</f>
        <v>0.43495461347461711</v>
      </c>
    </row>
    <row r="557" spans="1:22" s="14" customFormat="1" ht="12.75" x14ac:dyDescent="0.2">
      <c r="A557" s="28" t="s">
        <v>3198</v>
      </c>
      <c r="B557" s="29" t="s">
        <v>3543</v>
      </c>
      <c r="C557" s="29">
        <f>(Fuentes!C1970/Fuentes!C$47)*100000</f>
        <v>0</v>
      </c>
      <c r="D557" s="30">
        <f>(Fuentes!D1970/Fuentes!D$47)*100000</f>
        <v>0</v>
      </c>
      <c r="E557" s="35">
        <f>(Fuentes!E1970/Fuentes!E$47)*100000</f>
        <v>0</v>
      </c>
      <c r="F557" s="28">
        <f>(Fuentes!F1970/Fuentes!F$47)*100000</f>
        <v>0</v>
      </c>
      <c r="G557" s="28">
        <f>(Fuentes!G1970/Fuentes!G$47)*100000</f>
        <v>0</v>
      </c>
      <c r="H557" s="36">
        <f>(Fuentes!H1970/Fuentes!H$47)*100000</f>
        <v>0</v>
      </c>
      <c r="I557" s="28">
        <f>(Fuentes!I1970/Fuentes!I$47)*100000</f>
        <v>0</v>
      </c>
      <c r="J557" s="28">
        <f>(Fuentes!J1970/Fuentes!J$47)*100000</f>
        <v>0</v>
      </c>
      <c r="K557" s="28">
        <f>(Fuentes!K1970/Fuentes!K$47)*100000</f>
        <v>0</v>
      </c>
      <c r="L557" s="28">
        <f>(Fuentes!L1970/Fuentes!L$47)*100000</f>
        <v>0</v>
      </c>
      <c r="M557" s="28">
        <f>(Fuentes!M1970/Fuentes!M$47)*100000</f>
        <v>0</v>
      </c>
      <c r="N557" s="28">
        <f>(Fuentes!N1970/Fuentes!N$47)*100000</f>
        <v>0</v>
      </c>
      <c r="O557" s="28">
        <f>(Fuentes!O1970/Fuentes!O$47)*100000</f>
        <v>0</v>
      </c>
      <c r="P557" s="28">
        <f>(Fuentes!P1970/Fuentes!P$47)*100000</f>
        <v>1.463984703269396</v>
      </c>
      <c r="Q557" s="28">
        <f>(Fuentes!Q1970/Fuentes!Q$47)*100000</f>
        <v>2.0950661401905126</v>
      </c>
      <c r="R557" s="28">
        <f>(Fuentes!R1970/Fuentes!R$47)*100000</f>
        <v>4.0767952333365134</v>
      </c>
      <c r="S557" s="28">
        <f>(Fuentes!S1970/Fuentes!S$47)*100000</f>
        <v>6.5025728104119684</v>
      </c>
      <c r="T557" s="28">
        <f>(Fuentes!T1970/Fuentes!T$47)*100000</f>
        <v>6.6094240685310366</v>
      </c>
      <c r="U557" s="28">
        <f>(Fuentes!U1970/Fuentes!U$47)*100000</f>
        <v>6.2957277191697711</v>
      </c>
      <c r="V557" s="28">
        <f>(Fuentes!V1970/Fuentes!V$47)*100000</f>
        <v>8.4025323057596495</v>
      </c>
    </row>
    <row r="558" spans="1:22" s="14" customFormat="1" ht="12.75" x14ac:dyDescent="0.2">
      <c r="A558" s="28" t="s">
        <v>3198</v>
      </c>
      <c r="B558" s="29" t="s">
        <v>3544</v>
      </c>
      <c r="C558" s="29">
        <f>(Fuentes!C1971/Fuentes!C$47)*100000</f>
        <v>0</v>
      </c>
      <c r="D558" s="30">
        <f>(Fuentes!D1971/Fuentes!D$47)*100000</f>
        <v>0</v>
      </c>
      <c r="E558" s="35">
        <f>(Fuentes!E1971/Fuentes!E$47)*100000</f>
        <v>0</v>
      </c>
      <c r="F558" s="28">
        <f>(Fuentes!F1971/Fuentes!F$47)*100000</f>
        <v>0</v>
      </c>
      <c r="G558" s="28">
        <f>(Fuentes!G1971/Fuentes!G$47)*100000</f>
        <v>0</v>
      </c>
      <c r="H558" s="28">
        <f>(Fuentes!H1971/Fuentes!H$47)*100000</f>
        <v>0</v>
      </c>
      <c r="I558" s="28">
        <f>(Fuentes!I1971/Fuentes!I$47)*100000</f>
        <v>0</v>
      </c>
      <c r="J558" s="28">
        <f>(Fuentes!J1971/Fuentes!J$47)*100000</f>
        <v>0</v>
      </c>
      <c r="K558" s="28">
        <f>(Fuentes!K1971/Fuentes!K$47)*100000</f>
        <v>0</v>
      </c>
      <c r="L558" s="28">
        <f>(Fuentes!L1971/Fuentes!L$47)*100000</f>
        <v>0</v>
      </c>
      <c r="M558" s="28">
        <f>(Fuentes!M1971/Fuentes!M$47)*100000</f>
        <v>0</v>
      </c>
      <c r="N558" s="36">
        <f>(Fuentes!N1971/Fuentes!N$47)*100000</f>
        <v>0</v>
      </c>
      <c r="O558" s="28">
        <f>(Fuentes!O1971/Fuentes!O$47)*100000</f>
        <v>0</v>
      </c>
      <c r="P558" s="28">
        <f>(Fuentes!P1971/Fuentes!P$47)*100000</f>
        <v>0</v>
      </c>
      <c r="Q558" s="28">
        <f>(Fuentes!Q1971/Fuentes!Q$47)*100000</f>
        <v>2.095066140190513E-2</v>
      </c>
      <c r="R558" s="28">
        <f>(Fuentes!R1971/Fuentes!R$47)*100000</f>
        <v>0.72430372165877144</v>
      </c>
      <c r="S558" s="28">
        <f>(Fuentes!S1971/Fuentes!S$47)*100000</f>
        <v>0</v>
      </c>
      <c r="T558" s="28">
        <f>(Fuentes!T1971/Fuentes!T$47)*100000</f>
        <v>0.9701906889586841</v>
      </c>
      <c r="U558" s="28">
        <f>(Fuentes!U1971/Fuentes!U$47)*100000</f>
        <v>1.1192404834079592</v>
      </c>
      <c r="V558" s="28">
        <f>(Fuentes!V1971/Fuentes!V$47)*100000</f>
        <v>1.5618824756588523</v>
      </c>
    </row>
    <row r="559" spans="1:22" s="14" customFormat="1" ht="12.75" x14ac:dyDescent="0.2">
      <c r="A559" s="28" t="s">
        <v>3198</v>
      </c>
      <c r="B559" s="29" t="s">
        <v>3545</v>
      </c>
      <c r="C559" s="29">
        <f>(Fuentes!C1972/Fuentes!C$47)*100000</f>
        <v>0</v>
      </c>
      <c r="D559" s="30">
        <f>(Fuentes!D1972/Fuentes!D$47)*100000</f>
        <v>0</v>
      </c>
      <c r="E559" s="35">
        <f>(Fuentes!E1972/Fuentes!E$47)*100000</f>
        <v>0</v>
      </c>
      <c r="F559" s="28">
        <f>(Fuentes!F1972/Fuentes!F$47)*100000</f>
        <v>0</v>
      </c>
      <c r="G559" s="28">
        <f>(Fuentes!G1972/Fuentes!G$47)*100000</f>
        <v>0</v>
      </c>
      <c r="H559" s="36">
        <f>(Fuentes!H1972/Fuentes!H$47)*100000</f>
        <v>0</v>
      </c>
      <c r="I559" s="28">
        <f>(Fuentes!I1972/Fuentes!I$47)*100000</f>
        <v>0</v>
      </c>
      <c r="J559" s="28">
        <f>(Fuentes!J1972/Fuentes!J$47)*100000</f>
        <v>0</v>
      </c>
      <c r="K559" s="28">
        <f>(Fuentes!K1972/Fuentes!K$47)*100000</f>
        <v>0</v>
      </c>
      <c r="L559" s="28">
        <f>(Fuentes!L1972/Fuentes!L$47)*100000</f>
        <v>0</v>
      </c>
      <c r="M559" s="28">
        <f>(Fuentes!M1972/Fuentes!M$47)*100000</f>
        <v>0</v>
      </c>
      <c r="N559" s="28">
        <f>(Fuentes!N1972/Fuentes!N$47)*100000</f>
        <v>0</v>
      </c>
      <c r="O559" s="28">
        <f>(Fuentes!O1972/Fuentes!O$47)*100000</f>
        <v>1.6120535175974986</v>
      </c>
      <c r="P559" s="28">
        <f>(Fuentes!P1972/Fuentes!P$47)*100000</f>
        <v>1.867110925908795</v>
      </c>
      <c r="Q559" s="28">
        <f>(Fuentes!Q1972/Fuentes!Q$47)*100000</f>
        <v>0</v>
      </c>
      <c r="R559" s="28">
        <f>(Fuentes!R1972/Fuentes!R$47)*100000</f>
        <v>0.95194203418009948</v>
      </c>
      <c r="S559" s="28">
        <f>(Fuentes!S1972/Fuentes!S$47)*100000</f>
        <v>1.2064521880953023</v>
      </c>
      <c r="T559" s="28">
        <f>(Fuentes!T1972/Fuentes!T$47)*100000</f>
        <v>0</v>
      </c>
      <c r="U559" s="28">
        <f>(Fuentes!U1972/Fuentes!U$47)*100000</f>
        <v>0</v>
      </c>
      <c r="V559" s="28">
        <f>(Fuentes!V1972/Fuentes!V$47)*100000</f>
        <v>0</v>
      </c>
    </row>
    <row r="560" spans="1:22" s="14" customFormat="1" ht="12.75" x14ac:dyDescent="0.2">
      <c r="A560" s="28" t="s">
        <v>3198</v>
      </c>
      <c r="B560" s="29" t="s">
        <v>3546</v>
      </c>
      <c r="C560" s="29">
        <f>(Fuentes!C1973/Fuentes!C$47)*100000</f>
        <v>30.498284116436817</v>
      </c>
      <c r="D560" s="30">
        <f>(Fuentes!D1973/Fuentes!D$47)*100000</f>
        <v>32.883146198720944</v>
      </c>
      <c r="E560" s="35">
        <f>(Fuentes!E1973/Fuentes!E$47)*100000</f>
        <v>33.710957378759261</v>
      </c>
      <c r="F560" s="28">
        <f>(Fuentes!F1973/Fuentes!F$47)*100000</f>
        <v>33.183201371376555</v>
      </c>
      <c r="G560" s="28">
        <f>(Fuentes!G1973/Fuentes!G$47)*100000</f>
        <v>33.431097616637317</v>
      </c>
      <c r="H560" s="28">
        <f>(Fuentes!H1973/Fuentes!H$47)*100000</f>
        <v>39.262221344983736</v>
      </c>
      <c r="I560" s="28">
        <f>(Fuentes!I1973/Fuentes!I$47)*100000</f>
        <v>38.142818679510576</v>
      </c>
      <c r="J560" s="28">
        <f>(Fuentes!J1973/Fuentes!J$47)*100000</f>
        <v>39.351302532721711</v>
      </c>
      <c r="K560" s="28">
        <f>(Fuentes!K1973/Fuentes!K$47)*100000</f>
        <v>40.076383543478897</v>
      </c>
      <c r="L560" s="28">
        <f>(Fuentes!L1973/Fuentes!L$47)*100000</f>
        <v>35.463873053206775</v>
      </c>
      <c r="M560" s="28">
        <f>(Fuentes!M1973/Fuentes!M$47)*100000</f>
        <v>33.635545956742703</v>
      </c>
      <c r="N560" s="36">
        <f>(Fuentes!N1973/Fuentes!N$47)*100000</f>
        <v>27.198606664812775</v>
      </c>
      <c r="O560" s="28">
        <f>(Fuentes!O1973/Fuentes!O$47)*100000</f>
        <v>23.858392060442981</v>
      </c>
      <c r="P560" s="28">
        <f>(Fuentes!P1973/Fuentes!P$47)*100000</f>
        <v>18.140680018772951</v>
      </c>
      <c r="Q560" s="28">
        <f>(Fuentes!Q1973/Fuentes!Q$47)*100000</f>
        <v>21.474427936952758</v>
      </c>
      <c r="R560" s="28">
        <f>(Fuentes!R1973/Fuentes!R$47)*100000</f>
        <v>12.251080092056933</v>
      </c>
      <c r="S560" s="28">
        <f>(Fuentes!S1973/Fuentes!S$47)*100000</f>
        <v>8.6087520540359712</v>
      </c>
      <c r="T560" s="28">
        <f>(Fuentes!T1973/Fuentes!T$47)*100000</f>
        <v>7.983860877889172</v>
      </c>
      <c r="U560" s="28">
        <f>(Fuentes!U1973/Fuentes!U$47)*100000</f>
        <v>3.4576536362424459</v>
      </c>
      <c r="V560" s="28">
        <f>(Fuentes!V1973/Fuentes!V$47)*100000</f>
        <v>5.6939513036677152</v>
      </c>
    </row>
    <row r="561" spans="1:22" s="14" customFormat="1" ht="12.75" x14ac:dyDescent="0.2">
      <c r="A561" s="28" t="s">
        <v>3198</v>
      </c>
      <c r="B561" s="29" t="s">
        <v>3547</v>
      </c>
      <c r="C561" s="29">
        <f>(Fuentes!C1974/Fuentes!C$47)*100000</f>
        <v>8.3928385587146188</v>
      </c>
      <c r="D561" s="30">
        <f>(Fuentes!D1974/Fuentes!D$47)*100000</f>
        <v>9.6878807647000951</v>
      </c>
      <c r="E561" s="35">
        <f>(Fuentes!E1974/Fuentes!E$47)*100000</f>
        <v>8.7012058131015806</v>
      </c>
      <c r="F561" s="28">
        <f>(Fuentes!F1974/Fuentes!F$47)*100000</f>
        <v>11.697323197284655</v>
      </c>
      <c r="G561" s="28">
        <f>(Fuentes!G1974/Fuentes!G$47)*100000</f>
        <v>7.0812267285960884</v>
      </c>
      <c r="H561" s="36">
        <f>(Fuentes!H1974/Fuentes!H$47)*100000</f>
        <v>7.2593593544199537</v>
      </c>
      <c r="I561" s="28">
        <f>(Fuentes!I1974/Fuentes!I$47)*100000</f>
        <v>7.1517785024082334</v>
      </c>
      <c r="J561" s="28">
        <f>(Fuentes!J1974/Fuentes!J$47)*100000</f>
        <v>5.8520086904632995</v>
      </c>
      <c r="K561" s="28">
        <f>(Fuentes!K1974/Fuentes!K$47)*100000</f>
        <v>6.2669019025496757</v>
      </c>
      <c r="L561" s="28">
        <f>(Fuentes!L1974/Fuentes!L$47)*100000</f>
        <v>9.9343593915607613</v>
      </c>
      <c r="M561" s="28">
        <f>(Fuentes!M1974/Fuentes!M$47)*100000</f>
        <v>8.5357090395143782</v>
      </c>
      <c r="N561" s="28">
        <f>(Fuentes!N1974/Fuentes!N$47)*100000</f>
        <v>6.6199971385933418</v>
      </c>
      <c r="O561" s="28">
        <f>(Fuentes!O1974/Fuentes!O$47)*100000</f>
        <v>7.2649878526393943</v>
      </c>
      <c r="P561" s="28">
        <f>(Fuentes!P1974/Fuentes!P$47)*100000</f>
        <v>5.855938813077584</v>
      </c>
      <c r="Q561" s="28">
        <f>(Fuentes!Q1974/Fuentes!Q$47)*100000</f>
        <v>5.4262213030934277</v>
      </c>
      <c r="R561" s="28">
        <f>(Fuentes!R1974/Fuentes!R$47)*100000</f>
        <v>3.6629073923886439</v>
      </c>
      <c r="S561" s="28">
        <f>(Fuentes!S1974/Fuentes!S$47)*100000</f>
        <v>2.7605261930994205</v>
      </c>
      <c r="T561" s="28">
        <f>(Fuentes!T1974/Fuentes!T$47)*100000</f>
        <v>2.6882367006563541</v>
      </c>
      <c r="U561" s="28">
        <f>(Fuentes!U1974/Fuentes!U$47)*100000</f>
        <v>2.6581961480939031</v>
      </c>
      <c r="V561" s="28">
        <f>(Fuentes!V1974/Fuentes!V$47)*100000</f>
        <v>7.4535404218150303</v>
      </c>
    </row>
    <row r="562" spans="1:22" s="14" customFormat="1" ht="12.75" x14ac:dyDescent="0.2">
      <c r="A562" s="28" t="s">
        <v>3198</v>
      </c>
      <c r="B562" s="29" t="s">
        <v>3548</v>
      </c>
      <c r="C562" s="29">
        <f>(Fuentes!C1975/Fuentes!C$47)*100000</f>
        <v>0</v>
      </c>
      <c r="D562" s="30">
        <f>(Fuentes!D1975/Fuentes!D$47)*100000</f>
        <v>0</v>
      </c>
      <c r="E562" s="35">
        <f>(Fuentes!E1975/Fuentes!E$47)*100000</f>
        <v>0</v>
      </c>
      <c r="F562" s="28">
        <f>(Fuentes!F1975/Fuentes!F$47)*100000</f>
        <v>0</v>
      </c>
      <c r="G562" s="28">
        <f>(Fuentes!G1975/Fuentes!G$47)*100000</f>
        <v>0</v>
      </c>
      <c r="H562" s="28">
        <f>(Fuentes!H1975/Fuentes!H$47)*100000</f>
        <v>0</v>
      </c>
      <c r="I562" s="28">
        <f>(Fuentes!I1975/Fuentes!I$47)*100000</f>
        <v>0</v>
      </c>
      <c r="J562" s="28">
        <f>(Fuentes!J1975/Fuentes!J$47)*100000</f>
        <v>0</v>
      </c>
      <c r="K562" s="28">
        <f>(Fuentes!K1975/Fuentes!K$47)*100000</f>
        <v>0</v>
      </c>
      <c r="L562" s="28">
        <f>(Fuentes!L1975/Fuentes!L$47)*100000</f>
        <v>0</v>
      </c>
      <c r="M562" s="28">
        <f>(Fuentes!M1975/Fuentes!M$47)*100000</f>
        <v>0</v>
      </c>
      <c r="N562" s="36">
        <f>(Fuentes!N1975/Fuentes!N$47)*100000</f>
        <v>0</v>
      </c>
      <c r="O562" s="28">
        <f>(Fuentes!O1975/Fuentes!O$47)*100000</f>
        <v>0</v>
      </c>
      <c r="P562" s="28">
        <f>(Fuentes!P1975/Fuentes!P$47)*100000</f>
        <v>0</v>
      </c>
      <c r="Q562" s="28">
        <f>(Fuentes!Q1975/Fuentes!Q$47)*100000</f>
        <v>8.3802645607620518E-2</v>
      </c>
      <c r="R562" s="28">
        <f>(Fuentes!R1975/Fuentes!R$47)*100000</f>
        <v>0.4138878409478694</v>
      </c>
      <c r="S562" s="28">
        <f>(Fuentes!S1975/Fuentes!S$47)*100000</f>
        <v>0.12269005302664091</v>
      </c>
      <c r="T562" s="28">
        <f>(Fuentes!T1975/Fuentes!T$47)*100000</f>
        <v>0.70743071069904051</v>
      </c>
      <c r="U562" s="28">
        <f>(Fuentes!U1975/Fuentes!U$47)*100000</f>
        <v>0.11991862322228136</v>
      </c>
      <c r="V562" s="28">
        <f>(Fuentes!V1975/Fuentes!V$47)*100000</f>
        <v>9.8853321244231157E-2</v>
      </c>
    </row>
    <row r="563" spans="1:22" s="14" customFormat="1" ht="12.75" x14ac:dyDescent="0.2">
      <c r="A563" s="28" t="s">
        <v>3198</v>
      </c>
      <c r="B563" s="29" t="s">
        <v>3549</v>
      </c>
      <c r="C563" s="29">
        <f>(Fuentes!C1976/Fuentes!C$47)*100000</f>
        <v>0</v>
      </c>
      <c r="D563" s="30">
        <f>(Fuentes!D1976/Fuentes!D$47)*100000</f>
        <v>0</v>
      </c>
      <c r="E563" s="35">
        <f>(Fuentes!E1976/Fuentes!E$47)*100000</f>
        <v>0</v>
      </c>
      <c r="F563" s="28">
        <f>(Fuentes!F1976/Fuentes!F$47)*100000</f>
        <v>0</v>
      </c>
      <c r="G563" s="28">
        <f>(Fuentes!G1976/Fuentes!G$47)*100000</f>
        <v>0</v>
      </c>
      <c r="H563" s="36">
        <f>(Fuentes!H1976/Fuentes!H$47)*100000</f>
        <v>0</v>
      </c>
      <c r="I563" s="28">
        <f>(Fuentes!I1976/Fuentes!I$47)*100000</f>
        <v>0</v>
      </c>
      <c r="J563" s="28">
        <f>(Fuentes!J1976/Fuentes!J$47)*100000</f>
        <v>0</v>
      </c>
      <c r="K563" s="28">
        <f>(Fuentes!K1976/Fuentes!K$47)*100000</f>
        <v>0</v>
      </c>
      <c r="L563" s="28">
        <f>(Fuentes!L1976/Fuentes!L$47)*100000</f>
        <v>0</v>
      </c>
      <c r="M563" s="28">
        <f>(Fuentes!M1976/Fuentes!M$47)*100000</f>
        <v>0</v>
      </c>
      <c r="N563" s="28">
        <f>(Fuentes!N1976/Fuentes!N$47)*100000</f>
        <v>0</v>
      </c>
      <c r="O563" s="28">
        <f>(Fuentes!O1976/Fuentes!O$47)*100000</f>
        <v>0</v>
      </c>
      <c r="P563" s="28">
        <f>(Fuentes!P1976/Fuentes!P$47)*100000</f>
        <v>0</v>
      </c>
      <c r="Q563" s="28">
        <f>(Fuentes!Q1976/Fuentes!Q$47)*100000</f>
        <v>0.10475330700952563</v>
      </c>
      <c r="R563" s="28">
        <f>(Fuentes!R1976/Fuentes!R$47)*100000</f>
        <v>0.35180466480568895</v>
      </c>
      <c r="S563" s="28">
        <f>(Fuentes!S1976/Fuentes!S$47)*100000</f>
        <v>0</v>
      </c>
      <c r="T563" s="28">
        <f>(Fuentes!T1976/Fuentes!T$47)*100000</f>
        <v>0.14148614213980812</v>
      </c>
      <c r="U563" s="28">
        <f>(Fuentes!U1976/Fuentes!U$47)*100000</f>
        <v>0.37974230687055766</v>
      </c>
      <c r="V563" s="28">
        <f>(Fuentes!V1976/Fuentes!V$47)*100000</f>
        <v>0.79082656995384926</v>
      </c>
    </row>
    <row r="564" spans="1:22" s="14" customFormat="1" ht="12.75" x14ac:dyDescent="0.2">
      <c r="A564" s="28" t="s">
        <v>3198</v>
      </c>
      <c r="B564" s="29" t="s">
        <v>3550</v>
      </c>
      <c r="C564" s="29">
        <f>(Fuentes!C1977/Fuentes!C$47)*100000</f>
        <v>0</v>
      </c>
      <c r="D564" s="30">
        <f>(Fuentes!D1977/Fuentes!D$47)*100000</f>
        <v>0</v>
      </c>
      <c r="E564" s="35">
        <f>(Fuentes!E1977/Fuentes!E$47)*100000</f>
        <v>0</v>
      </c>
      <c r="F564" s="28">
        <f>(Fuentes!F1977/Fuentes!F$47)*100000</f>
        <v>0</v>
      </c>
      <c r="G564" s="28">
        <f>(Fuentes!G1977/Fuentes!G$47)*100000</f>
        <v>0</v>
      </c>
      <c r="H564" s="28">
        <f>(Fuentes!H1977/Fuentes!H$47)*100000</f>
        <v>0</v>
      </c>
      <c r="I564" s="28">
        <f>(Fuentes!I1977/Fuentes!I$47)*100000</f>
        <v>0</v>
      </c>
      <c r="J564" s="28">
        <f>(Fuentes!J1977/Fuentes!J$47)*100000</f>
        <v>0</v>
      </c>
      <c r="K564" s="28">
        <f>(Fuentes!K1977/Fuentes!K$47)*100000</f>
        <v>0</v>
      </c>
      <c r="L564" s="28">
        <f>(Fuentes!L1977/Fuentes!L$47)*100000</f>
        <v>0</v>
      </c>
      <c r="M564" s="28">
        <f>(Fuentes!M1977/Fuentes!M$47)*100000</f>
        <v>0</v>
      </c>
      <c r="N564" s="36">
        <f>(Fuentes!N1977/Fuentes!N$47)*100000</f>
        <v>0</v>
      </c>
      <c r="O564" s="28">
        <f>(Fuentes!O1977/Fuentes!O$47)*100000</f>
        <v>0</v>
      </c>
      <c r="P564" s="28">
        <f>(Fuentes!P1977/Fuentes!P$47)*100000</f>
        <v>0</v>
      </c>
      <c r="Q564" s="28">
        <f>(Fuentes!Q1977/Fuentes!Q$47)*100000</f>
        <v>0</v>
      </c>
      <c r="R564" s="28">
        <f>(Fuentes!R1977/Fuentes!R$47)*100000</f>
        <v>0</v>
      </c>
      <c r="S564" s="28">
        <f>(Fuentes!S1977/Fuentes!S$47)*100000</f>
        <v>0.12269005302664091</v>
      </c>
      <c r="T564" s="28">
        <f>(Fuentes!T1977/Fuentes!T$47)*100000</f>
        <v>0.12127383611983551</v>
      </c>
      <c r="U564" s="28">
        <f>(Fuentes!U1977/Fuentes!U$47)*100000</f>
        <v>0.17987793483342204</v>
      </c>
      <c r="V564" s="28">
        <f>(Fuentes!V1977/Fuentes!V$47)*100000</f>
        <v>0.27678929948384728</v>
      </c>
    </row>
    <row r="565" spans="1:22" s="14" customFormat="1" ht="12.75" x14ac:dyDescent="0.2">
      <c r="A565" s="28" t="s">
        <v>3198</v>
      </c>
      <c r="B565" s="29" t="s">
        <v>3551</v>
      </c>
      <c r="C565" s="29">
        <f>(Fuentes!C1978/Fuentes!C$47)*100000</f>
        <v>0</v>
      </c>
      <c r="D565" s="30">
        <f>(Fuentes!D1978/Fuentes!D$47)*100000</f>
        <v>0</v>
      </c>
      <c r="E565" s="35">
        <f>(Fuentes!E1978/Fuentes!E$47)*100000</f>
        <v>0</v>
      </c>
      <c r="F565" s="28">
        <f>(Fuentes!F1978/Fuentes!F$47)*100000</f>
        <v>0</v>
      </c>
      <c r="G565" s="28">
        <f>(Fuentes!G1978/Fuentes!G$47)*100000</f>
        <v>0</v>
      </c>
      <c r="H565" s="36">
        <f>(Fuentes!H1978/Fuentes!H$47)*100000</f>
        <v>0</v>
      </c>
      <c r="I565" s="28">
        <f>(Fuentes!I1978/Fuentes!I$47)*100000</f>
        <v>0</v>
      </c>
      <c r="J565" s="28">
        <f>(Fuentes!J1978/Fuentes!J$47)*100000</f>
        <v>0</v>
      </c>
      <c r="K565" s="28">
        <f>(Fuentes!K1978/Fuentes!K$47)*100000</f>
        <v>0</v>
      </c>
      <c r="L565" s="28">
        <f>(Fuentes!L1978/Fuentes!L$47)*100000</f>
        <v>0</v>
      </c>
      <c r="M565" s="28">
        <f>(Fuentes!M1978/Fuentes!M$47)*100000</f>
        <v>0</v>
      </c>
      <c r="N565" s="28">
        <f>(Fuentes!N1978/Fuentes!N$47)*100000</f>
        <v>0</v>
      </c>
      <c r="O565" s="28">
        <f>(Fuentes!O1978/Fuentes!O$47)*100000</f>
        <v>0</v>
      </c>
      <c r="P565" s="28">
        <f>(Fuentes!P1978/Fuentes!P$47)*100000</f>
        <v>0</v>
      </c>
      <c r="Q565" s="28">
        <f>(Fuentes!Q1978/Fuentes!Q$47)*100000</f>
        <v>0</v>
      </c>
      <c r="R565" s="28">
        <f>(Fuentes!R1978/Fuentes!R$47)*100000</f>
        <v>0</v>
      </c>
      <c r="S565" s="28">
        <f>(Fuentes!S1978/Fuentes!S$47)*100000</f>
        <v>0.1022417108555341</v>
      </c>
      <c r="T565" s="28">
        <f>(Fuentes!T1978/Fuentes!T$47)*100000</f>
        <v>4.0424612039945178E-2</v>
      </c>
      <c r="U565" s="28">
        <f>(Fuentes!U1978/Fuentes!U$47)*100000</f>
        <v>7.9945748814854237E-2</v>
      </c>
      <c r="V565" s="28">
        <f>(Fuentes!V1978/Fuentes!V$47)*100000</f>
        <v>5.9311992746538693E-2</v>
      </c>
    </row>
    <row r="566" spans="1:22" s="14" customFormat="1" ht="12.75" x14ac:dyDescent="0.2">
      <c r="A566" s="28" t="s">
        <v>3198</v>
      </c>
      <c r="B566" s="29" t="s">
        <v>3552</v>
      </c>
      <c r="C566" s="29">
        <f>(Fuentes!C1979/Fuentes!C$47)*100000</f>
        <v>0</v>
      </c>
      <c r="D566" s="30">
        <f>(Fuentes!D1979/Fuentes!D$47)*100000</f>
        <v>0</v>
      </c>
      <c r="E566" s="35">
        <f>(Fuentes!E1979/Fuentes!E$47)*100000</f>
        <v>0</v>
      </c>
      <c r="F566" s="28">
        <f>(Fuentes!F1979/Fuentes!F$47)*100000</f>
        <v>0</v>
      </c>
      <c r="G566" s="28">
        <f>(Fuentes!G1979/Fuentes!G$47)*100000</f>
        <v>0</v>
      </c>
      <c r="H566" s="28">
        <f>(Fuentes!H1979/Fuentes!H$47)*100000</f>
        <v>0</v>
      </c>
      <c r="I566" s="28">
        <f>(Fuentes!I1979/Fuentes!I$47)*100000</f>
        <v>0</v>
      </c>
      <c r="J566" s="28">
        <f>(Fuentes!J1979/Fuentes!J$47)*100000</f>
        <v>0</v>
      </c>
      <c r="K566" s="28">
        <f>(Fuentes!K1979/Fuentes!K$47)*100000</f>
        <v>0</v>
      </c>
      <c r="L566" s="28">
        <f>(Fuentes!L1979/Fuentes!L$47)*100000</f>
        <v>0</v>
      </c>
      <c r="M566" s="28">
        <f>(Fuentes!M1979/Fuentes!M$47)*100000</f>
        <v>0</v>
      </c>
      <c r="N566" s="36">
        <f>(Fuentes!N1979/Fuentes!N$47)*100000</f>
        <v>0</v>
      </c>
      <c r="O566" s="28">
        <f>(Fuentes!O1979/Fuentes!O$47)*100000</f>
        <v>0</v>
      </c>
      <c r="P566" s="28">
        <f>(Fuentes!P1979/Fuentes!P$47)*100000</f>
        <v>0</v>
      </c>
      <c r="Q566" s="28">
        <f>(Fuentes!Q1979/Fuentes!Q$47)*100000</f>
        <v>0</v>
      </c>
      <c r="R566" s="28">
        <f>(Fuentes!R1979/Fuentes!R$47)*100000</f>
        <v>0</v>
      </c>
      <c r="S566" s="28">
        <f>(Fuentes!S1979/Fuentes!S$47)*100000</f>
        <v>2.0448342171106821E-2</v>
      </c>
      <c r="T566" s="28">
        <f>(Fuentes!T1979/Fuentes!T$47)*100000</f>
        <v>4.0424612039945178E-2</v>
      </c>
      <c r="U566" s="28">
        <f>(Fuentes!U1979/Fuentes!U$47)*100000</f>
        <v>0</v>
      </c>
      <c r="V566" s="28">
        <f>(Fuentes!V1979/Fuentes!V$47)*100000</f>
        <v>0</v>
      </c>
    </row>
    <row r="567" spans="1:22" s="14" customFormat="1" ht="12.75" x14ac:dyDescent="0.2">
      <c r="A567" s="28" t="s">
        <v>3198</v>
      </c>
      <c r="B567" s="29" t="s">
        <v>3553</v>
      </c>
      <c r="C567" s="29">
        <f>(Fuentes!C1980/Fuentes!C$47)*100000</f>
        <v>0</v>
      </c>
      <c r="D567" s="30">
        <f>(Fuentes!D1980/Fuentes!D$47)*100000</f>
        <v>0</v>
      </c>
      <c r="E567" s="35">
        <f>(Fuentes!E1980/Fuentes!E$47)*100000</f>
        <v>0</v>
      </c>
      <c r="F567" s="28">
        <f>(Fuentes!F1980/Fuentes!F$47)*100000</f>
        <v>0</v>
      </c>
      <c r="G567" s="28">
        <f>(Fuentes!G1980/Fuentes!G$47)*100000</f>
        <v>0</v>
      </c>
      <c r="H567" s="36">
        <f>(Fuentes!H1980/Fuentes!H$47)*100000</f>
        <v>0</v>
      </c>
      <c r="I567" s="28">
        <f>(Fuentes!I1980/Fuentes!I$47)*100000</f>
        <v>0</v>
      </c>
      <c r="J567" s="28">
        <f>(Fuentes!J1980/Fuentes!J$47)*100000</f>
        <v>0</v>
      </c>
      <c r="K567" s="28">
        <f>(Fuentes!K1980/Fuentes!K$47)*100000</f>
        <v>0</v>
      </c>
      <c r="L567" s="28">
        <f>(Fuentes!L1980/Fuentes!L$47)*100000</f>
        <v>0</v>
      </c>
      <c r="M567" s="28">
        <f>(Fuentes!M1980/Fuentes!M$47)*100000</f>
        <v>0</v>
      </c>
      <c r="N567" s="28">
        <f>(Fuentes!N1980/Fuentes!N$47)*100000</f>
        <v>0</v>
      </c>
      <c r="O567" s="28">
        <f>(Fuentes!O1980/Fuentes!O$47)*100000</f>
        <v>0</v>
      </c>
      <c r="P567" s="28">
        <f>(Fuentes!P1980/Fuentes!P$47)*100000</f>
        <v>0</v>
      </c>
      <c r="Q567" s="28">
        <f>(Fuentes!Q1980/Fuentes!Q$47)*100000</f>
        <v>0</v>
      </c>
      <c r="R567" s="28">
        <f>(Fuentes!R1980/Fuentes!R$47)*100000</f>
        <v>0</v>
      </c>
      <c r="S567" s="28">
        <f>(Fuentes!S1980/Fuentes!S$47)*100000</f>
        <v>0</v>
      </c>
      <c r="T567" s="28">
        <f>(Fuentes!T1980/Fuentes!T$47)*100000</f>
        <v>2.0212306019972589E-2</v>
      </c>
      <c r="U567" s="28">
        <f>(Fuentes!U1980/Fuentes!U$47)*100000</f>
        <v>0.15989149762970847</v>
      </c>
      <c r="V567" s="28">
        <f>(Fuentes!V1980/Fuentes!V$47)*100000</f>
        <v>3.9541328497692464E-2</v>
      </c>
    </row>
    <row r="568" spans="1:22" s="14" customFormat="1" ht="12.75" x14ac:dyDescent="0.2">
      <c r="A568" s="28" t="s">
        <v>3198</v>
      </c>
      <c r="B568" s="29" t="s">
        <v>3554</v>
      </c>
      <c r="C568" s="29">
        <f>(Fuentes!C1981/Fuentes!C$47)*100000</f>
        <v>8.3928385587146188</v>
      </c>
      <c r="D568" s="30">
        <f>(Fuentes!D1981/Fuentes!D$47)*100000</f>
        <v>9.6878807647000951</v>
      </c>
      <c r="E568" s="35">
        <f>(Fuentes!E1981/Fuentes!E$47)*100000</f>
        <v>8.7012058131015806</v>
      </c>
      <c r="F568" s="28">
        <f>(Fuentes!F1981/Fuentes!F$47)*100000</f>
        <v>11.697323197284655</v>
      </c>
      <c r="G568" s="28">
        <f>(Fuentes!G1981/Fuentes!G$47)*100000</f>
        <v>7.0812267285960884</v>
      </c>
      <c r="H568" s="28">
        <f>(Fuentes!H1981/Fuentes!H$47)*100000</f>
        <v>7.2593593544199537</v>
      </c>
      <c r="I568" s="28">
        <f>(Fuentes!I1981/Fuentes!I$47)*100000</f>
        <v>7.1517785024082334</v>
      </c>
      <c r="J568" s="28">
        <f>(Fuentes!J1981/Fuentes!J$47)*100000</f>
        <v>5.8520086904632995</v>
      </c>
      <c r="K568" s="28">
        <f>(Fuentes!K1981/Fuentes!K$47)*100000</f>
        <v>6.2669019025496757</v>
      </c>
      <c r="L568" s="28">
        <f>(Fuentes!L1981/Fuentes!L$47)*100000</f>
        <v>9.9343593915607613</v>
      </c>
      <c r="M568" s="28">
        <f>(Fuentes!M1981/Fuentes!M$47)*100000</f>
        <v>8.5357090395143782</v>
      </c>
      <c r="N568" s="36">
        <f>(Fuentes!N1981/Fuentes!N$47)*100000</f>
        <v>6.6199971385933418</v>
      </c>
      <c r="O568" s="28">
        <f>(Fuentes!O1981/Fuentes!O$47)*100000</f>
        <v>7.2649878526393943</v>
      </c>
      <c r="P568" s="28">
        <f>(Fuentes!P1981/Fuentes!P$47)*100000</f>
        <v>5.855938813077584</v>
      </c>
      <c r="Q568" s="28">
        <f>(Fuentes!Q1981/Fuentes!Q$47)*100000</f>
        <v>5.2376653504762816</v>
      </c>
      <c r="R568" s="28">
        <f>(Fuentes!R1981/Fuentes!R$47)*100000</f>
        <v>2.8972148866350858</v>
      </c>
      <c r="S568" s="28">
        <f>(Fuentes!S1981/Fuentes!S$47)*100000</f>
        <v>2.392456034019498</v>
      </c>
      <c r="T568" s="28">
        <f>(Fuentes!T1981/Fuentes!T$47)*100000</f>
        <v>1.6169844815978069</v>
      </c>
      <c r="U568" s="28">
        <f>(Fuentes!U1981/Fuentes!U$47)*100000</f>
        <v>1.7388200367230797</v>
      </c>
      <c r="V568" s="28">
        <f>(Fuentes!V1981/Fuentes!V$47)*100000</f>
        <v>6.1882179098888717</v>
      </c>
    </row>
    <row r="569" spans="1:22" s="14" customFormat="1" ht="12.75" x14ac:dyDescent="0.2">
      <c r="A569" s="28" t="s">
        <v>3198</v>
      </c>
      <c r="B569" s="29" t="s">
        <v>3555</v>
      </c>
      <c r="C569" s="29">
        <f>(Fuentes!C1982/Fuentes!C$47)*100000</f>
        <v>4.080210745467415</v>
      </c>
      <c r="D569" s="30">
        <f>(Fuentes!D1982/Fuentes!D$47)*100000</f>
        <v>6.7789870625055482</v>
      </c>
      <c r="E569" s="35">
        <f>(Fuentes!E1982/Fuentes!E$47)*100000</f>
        <v>5.0715599596363488</v>
      </c>
      <c r="F569" s="28">
        <f>(Fuentes!F1982/Fuentes!F$47)*100000</f>
        <v>4.3559069646792228</v>
      </c>
      <c r="G569" s="28">
        <f>(Fuentes!G1982/Fuentes!G$47)*100000</f>
        <v>6.2382235466203637</v>
      </c>
      <c r="H569" s="36">
        <f>(Fuentes!H1982/Fuentes!H$47)*100000</f>
        <v>3.7482966601253356</v>
      </c>
      <c r="I569" s="28">
        <f>(Fuentes!I1982/Fuentes!I$47)*100000</f>
        <v>2.5709007688395609</v>
      </c>
      <c r="J569" s="28">
        <f>(Fuentes!J1982/Fuentes!J$47)*100000</f>
        <v>4.8152354972709821</v>
      </c>
      <c r="K569" s="28">
        <f>(Fuentes!K1982/Fuentes!K$47)*100000</f>
        <v>3.8373421069959965</v>
      </c>
      <c r="L569" s="28">
        <f>(Fuentes!L1982/Fuentes!L$47)*100000</f>
        <v>2.7297113643477768</v>
      </c>
      <c r="M569" s="28">
        <f>(Fuentes!M1982/Fuentes!M$47)*100000</f>
        <v>9.0429992408291859</v>
      </c>
      <c r="N569" s="28">
        <f>(Fuentes!N1982/Fuentes!N$47)*100000</f>
        <v>6.8377602023628592</v>
      </c>
      <c r="O569" s="28">
        <f>(Fuentes!O1982/Fuentes!O$47)*100000</f>
        <v>15.174797112317787</v>
      </c>
      <c r="P569" s="28">
        <f>(Fuentes!P1982/Fuentes!P$47)*100000</f>
        <v>6.4924539014555824</v>
      </c>
      <c r="Q569" s="28">
        <f>(Fuentes!Q1982/Fuentes!Q$47)*100000</f>
        <v>5.1329120434667566</v>
      </c>
      <c r="R569" s="28">
        <f>(Fuentes!R1982/Fuentes!R$47)*100000</f>
        <v>6.0013736937441058</v>
      </c>
      <c r="S569" s="28">
        <f>(Fuentes!S1982/Fuentes!S$47)*100000</f>
        <v>6.8501946273207848</v>
      </c>
      <c r="T569" s="28">
        <f>(Fuentes!T1982/Fuentes!T$47)*100000</f>
        <v>2.5669628645365186</v>
      </c>
      <c r="U569" s="28">
        <f>(Fuentes!U1982/Fuentes!U$47)*100000</f>
        <v>5.0965414869469576</v>
      </c>
      <c r="V569" s="28">
        <f>(Fuentes!V1982/Fuentes!V$47)*100000</f>
        <v>6.5045485378704102</v>
      </c>
    </row>
    <row r="570" spans="1:22" s="14" customFormat="1" ht="12.75" x14ac:dyDescent="0.2">
      <c r="A570" s="28" t="s">
        <v>3198</v>
      </c>
      <c r="B570" s="29" t="s">
        <v>3556</v>
      </c>
      <c r="C570" s="29">
        <f>(Fuentes!C1983/Fuentes!C$47)*100000</f>
        <v>0.77472355926596492</v>
      </c>
      <c r="D570" s="30">
        <f>(Fuentes!D1983/Fuentes!D$47)*100000</f>
        <v>1.846515132697407</v>
      </c>
      <c r="E570" s="35">
        <f>(Fuentes!E1983/Fuentes!E$47)*100000</f>
        <v>2.7346646841176394</v>
      </c>
      <c r="F570" s="28">
        <f>(Fuentes!F1983/Fuentes!F$47)*100000</f>
        <v>2.2513676446656659</v>
      </c>
      <c r="G570" s="28">
        <f>(Fuentes!G1983/Fuentes!G$47)*100000</f>
        <v>1.3728908963604662</v>
      </c>
      <c r="H570" s="28">
        <f>(Fuentes!H1983/Fuentes!H$47)*100000</f>
        <v>1.8504249334795961</v>
      </c>
      <c r="I570" s="28">
        <f>(Fuentes!I1983/Fuentes!I$47)*100000</f>
        <v>1.0283603075358243</v>
      </c>
      <c r="J570" s="28">
        <f>(Fuentes!J1983/Fuentes!J$47)*100000</f>
        <v>2.741689110886349</v>
      </c>
      <c r="K570" s="28">
        <f>(Fuentes!K1983/Fuentes!K$47)*100000</f>
        <v>2.6793276250031219</v>
      </c>
      <c r="L570" s="28">
        <f>(Fuentes!L1983/Fuentes!L$47)*100000</f>
        <v>1.8794733984033873</v>
      </c>
      <c r="M570" s="28">
        <f>(Fuentes!M1983/Fuentes!M$47)*100000</f>
        <v>2.9114046336328112</v>
      </c>
      <c r="N570" s="36">
        <f>(Fuentes!N1983/Fuentes!N$47)*100000</f>
        <v>2.9833539736423944</v>
      </c>
      <c r="O570" s="28">
        <f>(Fuentes!O1983/Fuentes!O$47)*100000</f>
        <v>2.6222737219585976</v>
      </c>
      <c r="P570" s="28">
        <f>(Fuentes!P1983/Fuentes!P$47)*100000</f>
        <v>0.27582320496379925</v>
      </c>
      <c r="Q570" s="28">
        <f>(Fuentes!Q1983/Fuentes!Q$47)*100000</f>
        <v>6.2851984205715389E-2</v>
      </c>
      <c r="R570" s="28">
        <f>(Fuentes!R1983/Fuentes!R$47)*100000</f>
        <v>0.18624952842654122</v>
      </c>
      <c r="S570" s="28">
        <f>(Fuentes!S1983/Fuentes!S$47)*100000</f>
        <v>1.3086938989508365</v>
      </c>
      <c r="T570" s="28">
        <f>(Fuentes!T1983/Fuentes!T$47)*100000</f>
        <v>0.9701906889586841</v>
      </c>
      <c r="U570" s="28">
        <f>(Fuentes!U1983/Fuentes!U$47)*100000</f>
        <v>0.89938967416711013</v>
      </c>
      <c r="V570" s="28">
        <f>(Fuentes!V1983/Fuentes!V$47)*100000</f>
        <v>1.3246345046726975</v>
      </c>
    </row>
    <row r="571" spans="1:22" s="14" customFormat="1" ht="12.75" x14ac:dyDescent="0.2">
      <c r="A571" s="28" t="s">
        <v>3198</v>
      </c>
      <c r="B571" s="29" t="s">
        <v>3557</v>
      </c>
      <c r="C571" s="29">
        <f>(Fuentes!C1984/Fuentes!C$47)*100000</f>
        <v>0</v>
      </c>
      <c r="D571" s="30">
        <f>(Fuentes!D1984/Fuentes!D$47)*100000</f>
        <v>0</v>
      </c>
      <c r="E571" s="35">
        <f>(Fuentes!E1984/Fuentes!E$47)*100000</f>
        <v>0</v>
      </c>
      <c r="F571" s="28">
        <f>(Fuentes!F1984/Fuentes!F$47)*100000</f>
        <v>0</v>
      </c>
      <c r="G571" s="28">
        <f>(Fuentes!G1984/Fuentes!G$47)*100000</f>
        <v>0</v>
      </c>
      <c r="H571" s="36">
        <f>(Fuentes!H1984/Fuentes!H$47)*100000</f>
        <v>0</v>
      </c>
      <c r="I571" s="28">
        <f>(Fuentes!I1984/Fuentes!I$47)*100000</f>
        <v>0</v>
      </c>
      <c r="J571" s="28">
        <f>(Fuentes!J1984/Fuentes!J$47)*100000</f>
        <v>0</v>
      </c>
      <c r="K571" s="28">
        <f>(Fuentes!K1984/Fuentes!K$47)*100000</f>
        <v>0</v>
      </c>
      <c r="L571" s="28">
        <f>(Fuentes!L1984/Fuentes!L$47)*100000</f>
        <v>0</v>
      </c>
      <c r="M571" s="28">
        <f>(Fuentes!M1984/Fuentes!M$47)*100000</f>
        <v>0</v>
      </c>
      <c r="N571" s="28">
        <f>(Fuentes!N1984/Fuentes!N$47)*100000</f>
        <v>0</v>
      </c>
      <c r="O571" s="28">
        <f>(Fuentes!O1984/Fuentes!O$47)*100000</f>
        <v>0</v>
      </c>
      <c r="P571" s="28">
        <f>(Fuentes!P1984/Fuentes!P$47)*100000</f>
        <v>0</v>
      </c>
      <c r="Q571" s="28">
        <f>(Fuentes!Q1984/Fuentes!Q$47)*100000</f>
        <v>0</v>
      </c>
      <c r="R571" s="28">
        <f>(Fuentes!R1984/Fuentes!R$47)*100000</f>
        <v>0</v>
      </c>
      <c r="S571" s="28">
        <f>(Fuentes!S1984/Fuentes!S$47)*100000</f>
        <v>2.0448342171106821E-2</v>
      </c>
      <c r="T571" s="28">
        <f>(Fuentes!T1984/Fuentes!T$47)*100000</f>
        <v>6.0636918059917756E-2</v>
      </c>
      <c r="U571" s="28">
        <f>(Fuentes!U1984/Fuentes!U$47)*100000</f>
        <v>1.9986437203713559E-2</v>
      </c>
      <c r="V571" s="28">
        <f>(Fuentes!V1984/Fuentes!V$47)*100000</f>
        <v>0.13839464974192364</v>
      </c>
    </row>
    <row r="572" spans="1:22" s="14" customFormat="1" ht="12.75" x14ac:dyDescent="0.2">
      <c r="A572" s="28" t="s">
        <v>3198</v>
      </c>
      <c r="B572" s="29" t="s">
        <v>3558</v>
      </c>
      <c r="C572" s="29">
        <f>(Fuentes!C1985/Fuentes!C$47)*100000</f>
        <v>3.2280148302748537</v>
      </c>
      <c r="D572" s="30">
        <f>(Fuentes!D1985/Fuentes!D$47)*100000</f>
        <v>2.6559464237428458</v>
      </c>
      <c r="E572" s="35">
        <f>(Fuentes!E1985/Fuentes!E$47)*100000</f>
        <v>1.9639864549572137</v>
      </c>
      <c r="F572" s="28">
        <f>(Fuentes!F1985/Fuentes!F$47)*100000</f>
        <v>2.0555965451295211</v>
      </c>
      <c r="G572" s="28">
        <f>(Fuentes!G1985/Fuentes!G$47)*100000</f>
        <v>4.7449036242633653</v>
      </c>
      <c r="H572" s="28">
        <f>(Fuentes!H1985/Fuentes!H$47)*100000</f>
        <v>1.8267015368965243</v>
      </c>
      <c r="I572" s="28">
        <f>(Fuentes!I1985/Fuentes!I$47)*100000</f>
        <v>1.4490531606186616</v>
      </c>
      <c r="J572" s="28">
        <f>(Fuentes!J1985/Fuentes!J$47)*100000</f>
        <v>1.9122705563324953</v>
      </c>
      <c r="K572" s="28">
        <f>(Fuentes!K1985/Fuentes!K$47)*100000</f>
        <v>1.1353083156792889</v>
      </c>
      <c r="L572" s="28">
        <f>(Fuentes!L1985/Fuentes!L$47)*100000</f>
        <v>0.76073923268708532</v>
      </c>
      <c r="M572" s="28">
        <f>(Fuentes!M1985/Fuentes!M$47)*100000</f>
        <v>1.1689730725949923</v>
      </c>
      <c r="N572" s="36">
        <f>(Fuentes!N1985/Fuentes!N$47)*100000</f>
        <v>1.5896703655174802</v>
      </c>
      <c r="O572" s="28">
        <f>(Fuentes!O1985/Fuentes!O$47)*100000</f>
        <v>2.235380877735198</v>
      </c>
      <c r="P572" s="28">
        <f>(Fuentes!P1985/Fuentes!P$47)*100000</f>
        <v>1.4427675336567962</v>
      </c>
      <c r="Q572" s="28">
        <f>(Fuentes!Q1985/Fuentes!Q$47)*100000</f>
        <v>0.83802645607620507</v>
      </c>
      <c r="R572" s="28">
        <f>(Fuentes!R1985/Fuentes!R$47)*100000</f>
        <v>0.24833270456872161</v>
      </c>
      <c r="S572" s="28">
        <f>(Fuentes!S1985/Fuentes!S$47)*100000</f>
        <v>0.3885185012510296</v>
      </c>
      <c r="T572" s="28">
        <f>(Fuentes!T1985/Fuentes!T$47)*100000</f>
        <v>0.40424612039945174</v>
      </c>
      <c r="U572" s="28">
        <f>(Fuentes!U1985/Fuentes!U$47)*100000</f>
        <v>0.27981012085198981</v>
      </c>
      <c r="V572" s="28">
        <f>(Fuentes!V1985/Fuentes!V$47)*100000</f>
        <v>0.63266125596307943</v>
      </c>
    </row>
    <row r="573" spans="1:22" s="14" customFormat="1" ht="12.75" x14ac:dyDescent="0.2">
      <c r="A573" s="28" t="s">
        <v>3198</v>
      </c>
      <c r="B573" s="29" t="s">
        <v>3559</v>
      </c>
      <c r="C573" s="29">
        <f>(Fuentes!C1986/Fuentes!C$47)*100000</f>
        <v>7.7472355926596501E-2</v>
      </c>
      <c r="D573" s="30">
        <f>(Fuentes!D1986/Fuentes!D$47)*100000</f>
        <v>0.12647363922584981</v>
      </c>
      <c r="E573" s="35">
        <f>(Fuentes!E1986/Fuentes!E$47)*100000</f>
        <v>2.4860588037433084E-2</v>
      </c>
      <c r="F573" s="28">
        <f>(Fuentes!F1986/Fuentes!F$47)*100000</f>
        <v>4.8942774884036214E-2</v>
      </c>
      <c r="G573" s="28">
        <f>(Fuentes!G1986/Fuentes!G$47)*100000</f>
        <v>0</v>
      </c>
      <c r="H573" s="36">
        <f>(Fuentes!H1986/Fuentes!H$47)*100000</f>
        <v>2.3723396583071741E-2</v>
      </c>
      <c r="I573" s="28">
        <f>(Fuentes!I1986/Fuentes!I$47)*100000</f>
        <v>2.3371825171268734E-2</v>
      </c>
      <c r="J573" s="28">
        <f>(Fuentes!J1986/Fuentes!J$47)*100000</f>
        <v>6.9118212879487786E-2</v>
      </c>
      <c r="K573" s="28">
        <f>(Fuentes!K1986/Fuentes!K$47)*100000</f>
        <v>2.2706166313585782E-2</v>
      </c>
      <c r="L573" s="28">
        <f>(Fuentes!L1986/Fuentes!L$47)*100000</f>
        <v>4.4749366628652081E-2</v>
      </c>
      <c r="M573" s="28">
        <f>(Fuentes!M1986/Fuentes!M$47)*100000</f>
        <v>6.6168287128018421E-2</v>
      </c>
      <c r="N573" s="28">
        <f>(Fuentes!N1986/Fuentes!N$47)*100000</f>
        <v>2.1776306376951781E-2</v>
      </c>
      <c r="O573" s="28">
        <f>(Fuentes!O1986/Fuentes!O$47)*100000</f>
        <v>0</v>
      </c>
      <c r="P573" s="28">
        <f>(Fuentes!P1986/Fuentes!P$47)*100000</f>
        <v>0</v>
      </c>
      <c r="Q573" s="28">
        <f>(Fuentes!Q1986/Fuentes!Q$47)*100000</f>
        <v>0</v>
      </c>
      <c r="R573" s="28">
        <f>(Fuentes!R1986/Fuentes!R$47)*100000</f>
        <v>0</v>
      </c>
      <c r="S573" s="28">
        <f>(Fuentes!S1986/Fuentes!S$47)*100000</f>
        <v>0</v>
      </c>
      <c r="T573" s="28">
        <f>(Fuentes!T1986/Fuentes!T$47)*100000</f>
        <v>0</v>
      </c>
      <c r="U573" s="28">
        <f>(Fuentes!U1986/Fuentes!U$47)*100000</f>
        <v>0</v>
      </c>
      <c r="V573" s="28">
        <f>(Fuentes!V1986/Fuentes!V$47)*100000</f>
        <v>0</v>
      </c>
    </row>
    <row r="574" spans="1:22" s="14" customFormat="1" ht="12.75" x14ac:dyDescent="0.2">
      <c r="A574" s="28" t="s">
        <v>3198</v>
      </c>
      <c r="B574" s="29" t="s">
        <v>3560</v>
      </c>
      <c r="C574" s="29">
        <f>(Fuentes!C1987/Fuentes!C$47)*100000</f>
        <v>0</v>
      </c>
      <c r="D574" s="30">
        <f>(Fuentes!D1987/Fuentes!D$47)*100000</f>
        <v>0</v>
      </c>
      <c r="E574" s="35">
        <f>(Fuentes!E1987/Fuentes!E$47)*100000</f>
        <v>0</v>
      </c>
      <c r="F574" s="28">
        <f>(Fuentes!F1987/Fuentes!F$47)*100000</f>
        <v>0</v>
      </c>
      <c r="G574" s="28">
        <f>(Fuentes!G1987/Fuentes!G$47)*100000</f>
        <v>0</v>
      </c>
      <c r="H574" s="28">
        <f>(Fuentes!H1987/Fuentes!H$47)*100000</f>
        <v>0</v>
      </c>
      <c r="I574" s="28">
        <f>(Fuentes!I1987/Fuentes!I$47)*100000</f>
        <v>0</v>
      </c>
      <c r="J574" s="28">
        <f>(Fuentes!J1987/Fuentes!J$47)*100000</f>
        <v>0</v>
      </c>
      <c r="K574" s="28">
        <f>(Fuentes!K1987/Fuentes!K$47)*100000</f>
        <v>0</v>
      </c>
      <c r="L574" s="28">
        <f>(Fuentes!L1987/Fuentes!L$47)*100000</f>
        <v>0</v>
      </c>
      <c r="M574" s="28">
        <f>(Fuentes!M1987/Fuentes!M$47)*100000</f>
        <v>0</v>
      </c>
      <c r="N574" s="36">
        <f>(Fuentes!N1987/Fuentes!N$47)*100000</f>
        <v>0</v>
      </c>
      <c r="O574" s="28">
        <f>(Fuentes!O1987/Fuentes!O$47)*100000</f>
        <v>0</v>
      </c>
      <c r="P574" s="28">
        <f>(Fuentes!P1987/Fuentes!P$47)*100000</f>
        <v>0</v>
      </c>
      <c r="Q574" s="28">
        <f>(Fuentes!Q1987/Fuentes!Q$47)*100000</f>
        <v>0.50281587364572311</v>
      </c>
      <c r="R574" s="28">
        <f>(Fuentes!R1987/Fuentes!R$47)*100000</f>
        <v>0.22763831252132816</v>
      </c>
      <c r="S574" s="28">
        <f>(Fuentes!S1987/Fuentes!S$47)*100000</f>
        <v>2.0448342171106821E-2</v>
      </c>
      <c r="T574" s="28">
        <f>(Fuentes!T1987/Fuentes!T$47)*100000</f>
        <v>0.42445842641942438</v>
      </c>
      <c r="U574" s="28">
        <f>(Fuentes!U1987/Fuentes!U$47)*100000</f>
        <v>2.6581961480939031</v>
      </c>
      <c r="V574" s="28">
        <f>(Fuentes!V1987/Fuentes!V$47)*100000</f>
        <v>3.3017009295573208</v>
      </c>
    </row>
    <row r="575" spans="1:22" s="14" customFormat="1" ht="12.75" x14ac:dyDescent="0.2">
      <c r="A575" s="28" t="s">
        <v>3198</v>
      </c>
      <c r="B575" s="29" t="s">
        <v>3561</v>
      </c>
      <c r="C575" s="29">
        <f>(Fuentes!C1988/Fuentes!C$47)*100000</f>
        <v>0</v>
      </c>
      <c r="D575" s="30">
        <f>(Fuentes!D1988/Fuentes!D$47)*100000</f>
        <v>0</v>
      </c>
      <c r="E575" s="35">
        <f>(Fuentes!E1988/Fuentes!E$47)*100000</f>
        <v>0</v>
      </c>
      <c r="F575" s="28">
        <f>(Fuentes!F1988/Fuentes!F$47)*100000</f>
        <v>0</v>
      </c>
      <c r="G575" s="28">
        <f>(Fuentes!G1988/Fuentes!G$47)*100000</f>
        <v>0</v>
      </c>
      <c r="H575" s="36">
        <f>(Fuentes!H1988/Fuentes!H$47)*100000</f>
        <v>0</v>
      </c>
      <c r="I575" s="28">
        <f>(Fuentes!I1988/Fuentes!I$47)*100000</f>
        <v>0</v>
      </c>
      <c r="J575" s="28">
        <f>(Fuentes!J1988/Fuentes!J$47)*100000</f>
        <v>0</v>
      </c>
      <c r="K575" s="28">
        <f>(Fuentes!K1988/Fuentes!K$47)*100000</f>
        <v>0</v>
      </c>
      <c r="L575" s="28">
        <f>(Fuentes!L1988/Fuentes!L$47)*100000</f>
        <v>0</v>
      </c>
      <c r="M575" s="28">
        <f>(Fuentes!M1988/Fuentes!M$47)*100000</f>
        <v>0</v>
      </c>
      <c r="N575" s="28">
        <f>(Fuentes!N1988/Fuentes!N$47)*100000</f>
        <v>0</v>
      </c>
      <c r="O575" s="28">
        <f>(Fuentes!O1988/Fuentes!O$47)*100000</f>
        <v>0</v>
      </c>
      <c r="P575" s="28">
        <f>(Fuentes!P1988/Fuentes!P$47)*100000</f>
        <v>0</v>
      </c>
      <c r="Q575" s="28">
        <f>(Fuentes!Q1988/Fuentes!Q$47)*100000</f>
        <v>0</v>
      </c>
      <c r="R575" s="28">
        <f>(Fuentes!R1988/Fuentes!R$47)*100000</f>
        <v>0</v>
      </c>
      <c r="S575" s="28">
        <f>(Fuentes!S1988/Fuentes!S$47)*100000</f>
        <v>0</v>
      </c>
      <c r="T575" s="28">
        <f>(Fuentes!T1988/Fuentes!T$47)*100000</f>
        <v>2.0212306019972589E-2</v>
      </c>
      <c r="U575" s="28">
        <f>(Fuentes!U1988/Fuentes!U$47)*100000</f>
        <v>1.9986437203713559E-2</v>
      </c>
      <c r="V575" s="28">
        <f>(Fuentes!V1988/Fuentes!V$47)*100000</f>
        <v>0</v>
      </c>
    </row>
    <row r="576" spans="1:22" s="14" customFormat="1" ht="12.75" x14ac:dyDescent="0.2">
      <c r="A576" s="28" t="s">
        <v>3198</v>
      </c>
      <c r="B576" s="29" t="s">
        <v>3562</v>
      </c>
      <c r="C576" s="29">
        <f>(Fuentes!C1989/Fuentes!C$47)*100000</f>
        <v>0</v>
      </c>
      <c r="D576" s="30">
        <f>(Fuentes!D1989/Fuentes!D$47)*100000</f>
        <v>0</v>
      </c>
      <c r="E576" s="35">
        <f>(Fuentes!E1989/Fuentes!E$47)*100000</f>
        <v>0</v>
      </c>
      <c r="F576" s="28">
        <f>(Fuentes!F1989/Fuentes!F$47)*100000</f>
        <v>0</v>
      </c>
      <c r="G576" s="28">
        <f>(Fuentes!G1989/Fuentes!G$47)*100000</f>
        <v>0</v>
      </c>
      <c r="H576" s="28">
        <f>(Fuentes!H1989/Fuentes!H$47)*100000</f>
        <v>0</v>
      </c>
      <c r="I576" s="28">
        <f>(Fuentes!I1989/Fuentes!I$47)*100000</f>
        <v>0</v>
      </c>
      <c r="J576" s="28">
        <f>(Fuentes!J1989/Fuentes!J$47)*100000</f>
        <v>0</v>
      </c>
      <c r="K576" s="28">
        <f>(Fuentes!K1989/Fuentes!K$47)*100000</f>
        <v>0</v>
      </c>
      <c r="L576" s="28">
        <f>(Fuentes!L1989/Fuentes!L$47)*100000</f>
        <v>0</v>
      </c>
      <c r="M576" s="28">
        <f>(Fuentes!M1989/Fuentes!M$47)*100000</f>
        <v>0</v>
      </c>
      <c r="N576" s="36">
        <f>(Fuentes!N1989/Fuentes!N$47)*100000</f>
        <v>0</v>
      </c>
      <c r="O576" s="28">
        <f>(Fuentes!O1989/Fuentes!O$47)*100000</f>
        <v>0</v>
      </c>
      <c r="P576" s="28">
        <f>(Fuentes!P1989/Fuentes!P$47)*100000</f>
        <v>0.57286357954019851</v>
      </c>
      <c r="Q576" s="28">
        <f>(Fuentes!Q1989/Fuentes!Q$47)*100000</f>
        <v>0.4609145508419128</v>
      </c>
      <c r="R576" s="28">
        <f>(Fuentes!R1989/Fuentes!R$47)*100000</f>
        <v>0.62083176142180407</v>
      </c>
      <c r="S576" s="28">
        <f>(Fuentes!S1989/Fuentes!S$47)*100000</f>
        <v>0.34762181690881594</v>
      </c>
      <c r="T576" s="28">
        <f>(Fuentes!T1989/Fuentes!T$47)*100000</f>
        <v>0.12127383611983551</v>
      </c>
      <c r="U576" s="28">
        <f>(Fuentes!U1989/Fuentes!U$47)*100000</f>
        <v>0</v>
      </c>
      <c r="V576" s="28">
        <f>(Fuentes!V1989/Fuentes!V$47)*100000</f>
        <v>7.9082656995384928E-2</v>
      </c>
    </row>
    <row r="577" spans="1:22" s="14" customFormat="1" ht="12.75" x14ac:dyDescent="0.2">
      <c r="A577" s="28" t="s">
        <v>3198</v>
      </c>
      <c r="B577" s="29" t="s">
        <v>3563</v>
      </c>
      <c r="C577" s="29">
        <f>(Fuentes!C1990/Fuentes!C$47)*100000</f>
        <v>0</v>
      </c>
      <c r="D577" s="30">
        <f>(Fuentes!D1990/Fuentes!D$47)*100000</f>
        <v>0</v>
      </c>
      <c r="E577" s="35">
        <f>(Fuentes!E1990/Fuentes!E$47)*100000</f>
        <v>0</v>
      </c>
      <c r="F577" s="28">
        <f>(Fuentes!F1990/Fuentes!F$47)*100000</f>
        <v>0</v>
      </c>
      <c r="G577" s="28">
        <f>(Fuentes!G1990/Fuentes!G$47)*100000</f>
        <v>0</v>
      </c>
      <c r="H577" s="36">
        <f>(Fuentes!H1990/Fuentes!H$47)*100000</f>
        <v>0</v>
      </c>
      <c r="I577" s="28">
        <f>(Fuentes!I1990/Fuentes!I$47)*100000</f>
        <v>0</v>
      </c>
      <c r="J577" s="28">
        <f>(Fuentes!J1990/Fuentes!J$47)*100000</f>
        <v>0</v>
      </c>
      <c r="K577" s="28">
        <f>(Fuentes!K1990/Fuentes!K$47)*100000</f>
        <v>0</v>
      </c>
      <c r="L577" s="28">
        <f>(Fuentes!L1990/Fuentes!L$47)*100000</f>
        <v>0</v>
      </c>
      <c r="M577" s="28">
        <f>(Fuentes!M1990/Fuentes!M$47)*100000</f>
        <v>0</v>
      </c>
      <c r="N577" s="28">
        <f>(Fuentes!N1990/Fuentes!N$47)*100000</f>
        <v>0</v>
      </c>
      <c r="O577" s="28">
        <f>(Fuentes!O1990/Fuentes!O$47)*100000</f>
        <v>0</v>
      </c>
      <c r="P577" s="28">
        <f>(Fuentes!P1990/Fuentes!P$47)*100000</f>
        <v>2.927969406538792</v>
      </c>
      <c r="Q577" s="28">
        <f>(Fuentes!Q1990/Fuentes!Q$47)*100000</f>
        <v>2.3883753998171846</v>
      </c>
      <c r="R577" s="28">
        <f>(Fuentes!R1990/Fuentes!R$47)*100000</f>
        <v>4.1802671935734805</v>
      </c>
      <c r="S577" s="28">
        <f>(Fuentes!S1990/Fuentes!S$47)*100000</f>
        <v>4.2737035137613253</v>
      </c>
      <c r="T577" s="28">
        <f>(Fuentes!T1990/Fuentes!T$47)*100000</f>
        <v>0</v>
      </c>
      <c r="U577" s="28">
        <f>(Fuentes!U1990/Fuentes!U$47)*100000</f>
        <v>0.61957955331512038</v>
      </c>
      <c r="V577" s="28">
        <f>(Fuentes!V1990/Fuentes!V$47)*100000</f>
        <v>0.7117439129584644</v>
      </c>
    </row>
    <row r="578" spans="1:22" s="14" customFormat="1" ht="12.75" x14ac:dyDescent="0.2">
      <c r="A578" s="28" t="s">
        <v>3198</v>
      </c>
      <c r="B578" s="29" t="s">
        <v>3564</v>
      </c>
      <c r="C578" s="29">
        <f>(Fuentes!C1991/Fuentes!C$47)*100000</f>
        <v>0</v>
      </c>
      <c r="D578" s="30">
        <f>(Fuentes!D1991/Fuentes!D$47)*100000</f>
        <v>0</v>
      </c>
      <c r="E578" s="35">
        <f>(Fuentes!E1991/Fuentes!E$47)*100000</f>
        <v>0</v>
      </c>
      <c r="F578" s="28">
        <f>(Fuentes!F1991/Fuentes!F$47)*100000</f>
        <v>0</v>
      </c>
      <c r="G578" s="28">
        <f>(Fuentes!G1991/Fuentes!G$47)*100000</f>
        <v>0</v>
      </c>
      <c r="H578" s="28">
        <f>(Fuentes!H1991/Fuentes!H$47)*100000</f>
        <v>0</v>
      </c>
      <c r="I578" s="28">
        <f>(Fuentes!I1991/Fuentes!I$47)*100000</f>
        <v>0</v>
      </c>
      <c r="J578" s="28">
        <f>(Fuentes!J1991/Fuentes!J$47)*100000</f>
        <v>0</v>
      </c>
      <c r="K578" s="28">
        <f>(Fuentes!K1991/Fuentes!K$47)*100000</f>
        <v>0</v>
      </c>
      <c r="L578" s="28">
        <f>(Fuentes!L1991/Fuentes!L$47)*100000</f>
        <v>0</v>
      </c>
      <c r="M578" s="28">
        <f>(Fuentes!M1991/Fuentes!M$47)*100000</f>
        <v>0</v>
      </c>
      <c r="N578" s="36">
        <f>(Fuentes!N1991/Fuentes!N$47)*100000</f>
        <v>0</v>
      </c>
      <c r="O578" s="28">
        <f>(Fuentes!O1991/Fuentes!O$47)*100000</f>
        <v>0</v>
      </c>
      <c r="P578" s="28">
        <f>(Fuentes!P1991/Fuentes!P$47)*100000</f>
        <v>2.1217169612599944E-2</v>
      </c>
      <c r="Q578" s="28">
        <f>(Fuentes!Q1991/Fuentes!Q$47)*100000</f>
        <v>2.095066140190513E-2</v>
      </c>
      <c r="R578" s="28">
        <f>(Fuentes!R1991/Fuentes!R$47)*100000</f>
        <v>2.069439204739347E-2</v>
      </c>
      <c r="S578" s="28">
        <f>(Fuentes!S1991/Fuentes!S$47)*100000</f>
        <v>8.1793368684427284E-2</v>
      </c>
      <c r="T578" s="28">
        <f>(Fuentes!T1991/Fuentes!T$47)*100000</f>
        <v>0.20212306019972587</v>
      </c>
      <c r="U578" s="28">
        <f>(Fuentes!U1991/Fuentes!U$47)*100000</f>
        <v>0.35975586966684409</v>
      </c>
      <c r="V578" s="28">
        <f>(Fuentes!V1991/Fuentes!V$47)*100000</f>
        <v>5.9311992746538693E-2</v>
      </c>
    </row>
    <row r="579" spans="1:22" s="14" customFormat="1" ht="12.75" x14ac:dyDescent="0.2">
      <c r="A579" s="28" t="s">
        <v>3198</v>
      </c>
      <c r="B579" s="29" t="s">
        <v>3565</v>
      </c>
      <c r="C579" s="29">
        <f>(Fuentes!C1992/Fuentes!C$47)*100000</f>
        <v>0</v>
      </c>
      <c r="D579" s="30">
        <f>(Fuentes!D1992/Fuentes!D$47)*100000</f>
        <v>0</v>
      </c>
      <c r="E579" s="35">
        <f>(Fuentes!E1992/Fuentes!E$47)*100000</f>
        <v>0</v>
      </c>
      <c r="F579" s="28">
        <f>(Fuentes!F1992/Fuentes!F$47)*100000</f>
        <v>0</v>
      </c>
      <c r="G579" s="28">
        <f>(Fuentes!G1992/Fuentes!G$47)*100000</f>
        <v>0</v>
      </c>
      <c r="H579" s="36">
        <f>(Fuentes!H1992/Fuentes!H$47)*100000</f>
        <v>0</v>
      </c>
      <c r="I579" s="28">
        <f>(Fuentes!I1992/Fuentes!I$47)*100000</f>
        <v>0</v>
      </c>
      <c r="J579" s="28">
        <f>(Fuentes!J1992/Fuentes!J$47)*100000</f>
        <v>0</v>
      </c>
      <c r="K579" s="28">
        <f>(Fuentes!K1992/Fuentes!K$47)*100000</f>
        <v>0</v>
      </c>
      <c r="L579" s="28">
        <f>(Fuentes!L1992/Fuentes!L$47)*100000</f>
        <v>0</v>
      </c>
      <c r="M579" s="28">
        <f>(Fuentes!M1992/Fuentes!M$47)*100000</f>
        <v>0</v>
      </c>
      <c r="N579" s="28">
        <f>(Fuentes!N1992/Fuentes!N$47)*100000</f>
        <v>0</v>
      </c>
      <c r="O579" s="28">
        <f>(Fuentes!O1992/Fuentes!O$47)*100000</f>
        <v>0</v>
      </c>
      <c r="P579" s="28">
        <f>(Fuentes!P1992/Fuentes!P$47)*100000</f>
        <v>2.1217169612599944E-2</v>
      </c>
      <c r="Q579" s="28">
        <f>(Fuentes!Q1992/Fuentes!Q$47)*100000</f>
        <v>2.095066140190513E-2</v>
      </c>
      <c r="R579" s="28">
        <f>(Fuentes!R1992/Fuentes!R$47)*100000</f>
        <v>0</v>
      </c>
      <c r="S579" s="28">
        <f>(Fuentes!S1992/Fuentes!S$47)*100000</f>
        <v>0</v>
      </c>
      <c r="T579" s="28">
        <f>(Fuentes!T1992/Fuentes!T$47)*100000</f>
        <v>0</v>
      </c>
      <c r="U579" s="28">
        <f>(Fuentes!U1992/Fuentes!U$47)*100000</f>
        <v>0</v>
      </c>
      <c r="V579" s="28">
        <f>(Fuentes!V1992/Fuentes!V$47)*100000</f>
        <v>0</v>
      </c>
    </row>
    <row r="580" spans="1:22" s="14" customFormat="1" ht="12.75" x14ac:dyDescent="0.2">
      <c r="A580" s="28" t="s">
        <v>3198</v>
      </c>
      <c r="B580" s="29" t="s">
        <v>3566</v>
      </c>
      <c r="C580" s="29">
        <f>(Fuentes!C1993/Fuentes!C$47)*100000</f>
        <v>0</v>
      </c>
      <c r="D580" s="30">
        <f>(Fuentes!D1993/Fuentes!D$47)*100000</f>
        <v>2.1500518668394464</v>
      </c>
      <c r="E580" s="35">
        <f>(Fuentes!E1993/Fuentes!E$47)*100000</f>
        <v>0.34804823252406319</v>
      </c>
      <c r="F580" s="28">
        <f>(Fuentes!F1993/Fuentes!F$47)*100000</f>
        <v>0</v>
      </c>
      <c r="G580" s="28">
        <f>(Fuentes!G1993/Fuentes!G$47)*100000</f>
        <v>0.12042902599653213</v>
      </c>
      <c r="H580" s="28">
        <f>(Fuentes!H1993/Fuentes!H$47)*100000</f>
        <v>4.7446793166143482E-2</v>
      </c>
      <c r="I580" s="28">
        <f>(Fuentes!I1993/Fuentes!I$47)*100000</f>
        <v>7.0115475513806202E-2</v>
      </c>
      <c r="J580" s="28">
        <f>(Fuentes!J1993/Fuentes!J$47)*100000</f>
        <v>9.2157617172650377E-2</v>
      </c>
      <c r="K580" s="28">
        <f>(Fuentes!K1993/Fuentes!K$47)*100000</f>
        <v>0</v>
      </c>
      <c r="L580" s="28">
        <f>(Fuentes!L1993/Fuentes!L$47)*100000</f>
        <v>4.4749366628652081E-2</v>
      </c>
      <c r="M580" s="28">
        <f>(Fuentes!M1993/Fuentes!M$47)*100000</f>
        <v>4.8964532474733637</v>
      </c>
      <c r="N580" s="36">
        <f>(Fuentes!N1993/Fuentes!N$47)*100000</f>
        <v>2.2429595568260337</v>
      </c>
      <c r="O580" s="28">
        <f>(Fuentes!O1993/Fuentes!O$47)*100000</f>
        <v>10.31714251262399</v>
      </c>
      <c r="P580" s="28">
        <f>(Fuentes!P1993/Fuentes!P$47)*100000</f>
        <v>1.2305958375307966</v>
      </c>
      <c r="Q580" s="28">
        <f>(Fuentes!Q1993/Fuentes!Q$47)*100000</f>
        <v>0.83802645607620507</v>
      </c>
      <c r="R580" s="28">
        <f>(Fuentes!R1993/Fuentes!R$47)*100000</f>
        <v>0.51735980118483671</v>
      </c>
      <c r="S580" s="28">
        <f>(Fuentes!S1993/Fuentes!S$47)*100000</f>
        <v>0.40896684342213641</v>
      </c>
      <c r="T580" s="28">
        <f>(Fuentes!T1993/Fuentes!T$47)*100000</f>
        <v>0.36382150835950661</v>
      </c>
      <c r="U580" s="28">
        <f>(Fuentes!U1993/Fuentes!U$47)*100000</f>
        <v>0.23983724644456272</v>
      </c>
      <c r="V580" s="28">
        <f>(Fuentes!V1993/Fuentes!V$47)*100000</f>
        <v>0.25701863523500107</v>
      </c>
    </row>
    <row r="581" spans="1:22" s="14" customFormat="1" ht="12.75" x14ac:dyDescent="0.2">
      <c r="A581" s="28" t="s">
        <v>3198</v>
      </c>
      <c r="B581" s="29" t="s">
        <v>3567</v>
      </c>
      <c r="C581" s="29">
        <f>(Fuentes!C1994/Fuentes!C$47)*100000</f>
        <v>0</v>
      </c>
      <c r="D581" s="30">
        <f>(Fuentes!D1994/Fuentes!D$47)*100000</f>
        <v>0</v>
      </c>
      <c r="E581" s="35">
        <f>(Fuentes!E1994/Fuentes!E$47)*100000</f>
        <v>4.9721176074866168E-2</v>
      </c>
      <c r="F581" s="28">
        <f>(Fuentes!F1994/Fuentes!F$47)*100000</f>
        <v>0</v>
      </c>
      <c r="G581" s="28">
        <f>(Fuentes!G1994/Fuentes!G$47)*100000</f>
        <v>0.43354449358751562</v>
      </c>
      <c r="H581" s="36">
        <f>(Fuentes!H1994/Fuentes!H$47)*100000</f>
        <v>1.0438294496551568</v>
      </c>
      <c r="I581" s="28">
        <f>(Fuentes!I1994/Fuentes!I$47)*100000</f>
        <v>0.79464205582313707</v>
      </c>
      <c r="J581" s="28">
        <f>(Fuentes!J1994/Fuentes!J$47)*100000</f>
        <v>1.9353099606256581</v>
      </c>
      <c r="K581" s="28">
        <f>(Fuentes!K1994/Fuentes!K$47)*100000</f>
        <v>5.7900724099643739</v>
      </c>
      <c r="L581" s="28">
        <f>(Fuentes!L1994/Fuentes!L$47)*100000</f>
        <v>14.275047954540014</v>
      </c>
      <c r="M581" s="28">
        <f>(Fuentes!M1994/Fuentes!M$47)*100000</f>
        <v>14.998145082350845</v>
      </c>
      <c r="N581" s="28">
        <f>(Fuentes!N1994/Fuentes!N$47)*100000</f>
        <v>20.447951687957723</v>
      </c>
      <c r="O581" s="28">
        <f>(Fuentes!O1994/Fuentes!O$47)*100000</f>
        <v>31.940153695331773</v>
      </c>
      <c r="P581" s="28">
        <f>(Fuentes!P1994/Fuentes!P$47)*100000</f>
        <v>34.711289486213509</v>
      </c>
      <c r="Q581" s="28">
        <f>(Fuentes!Q1994/Fuentes!Q$47)*100000</f>
        <v>38.465414333897812</v>
      </c>
      <c r="R581" s="28">
        <f>(Fuentes!R1994/Fuentes!R$47)*100000</f>
        <v>41.140451390218217</v>
      </c>
      <c r="S581" s="28">
        <f>(Fuentes!S1994/Fuentes!S$47)*100000</f>
        <v>52.654481090600065</v>
      </c>
      <c r="T581" s="28">
        <f>(Fuentes!T1994/Fuentes!T$47)*100000</f>
        <v>43.840491757320542</v>
      </c>
      <c r="U581" s="28">
        <f>(Fuentes!U1994/Fuentes!U$47)*100000</f>
        <v>46.148683503374606</v>
      </c>
      <c r="V581" s="28">
        <f>(Fuentes!V1994/Fuentes!V$47)*100000</f>
        <v>50.573359148548661</v>
      </c>
    </row>
    <row r="582" spans="1:22" s="14" customFormat="1" ht="12.75" x14ac:dyDescent="0.2">
      <c r="A582" s="28" t="s">
        <v>3198</v>
      </c>
      <c r="B582" s="29" t="s">
        <v>3568</v>
      </c>
      <c r="C582" s="29">
        <f>(Fuentes!C1995/Fuentes!C$47)*100000</f>
        <v>0</v>
      </c>
      <c r="D582" s="30">
        <f>(Fuentes!D1995/Fuentes!D$47)*100000</f>
        <v>0</v>
      </c>
      <c r="E582" s="35">
        <f>(Fuentes!E1995/Fuentes!E$47)*100000</f>
        <v>0</v>
      </c>
      <c r="F582" s="28">
        <f>(Fuentes!F1995/Fuentes!F$47)*100000</f>
        <v>0</v>
      </c>
      <c r="G582" s="28">
        <f>(Fuentes!G1995/Fuentes!G$47)*100000</f>
        <v>0</v>
      </c>
      <c r="H582" s="28">
        <f>(Fuentes!H1995/Fuentes!H$47)*100000</f>
        <v>0</v>
      </c>
      <c r="I582" s="28">
        <f>(Fuentes!I1995/Fuentes!I$47)*100000</f>
        <v>0</v>
      </c>
      <c r="J582" s="28">
        <f>(Fuentes!J1995/Fuentes!J$47)*100000</f>
        <v>0</v>
      </c>
      <c r="K582" s="28">
        <f>(Fuentes!K1995/Fuentes!K$47)*100000</f>
        <v>0</v>
      </c>
      <c r="L582" s="28">
        <f>(Fuentes!L1995/Fuentes!L$47)*100000</f>
        <v>6.9137771441267457</v>
      </c>
      <c r="M582" s="28">
        <f>(Fuentes!M1995/Fuentes!M$47)*100000</f>
        <v>4.8964532474733637</v>
      </c>
      <c r="N582" s="36">
        <f>(Fuentes!N1995/Fuentes!N$47)*100000</f>
        <v>8.4709831806342439</v>
      </c>
      <c r="O582" s="28">
        <f>(Fuentes!O1995/Fuentes!O$47)*100000</f>
        <v>11.62827937360329</v>
      </c>
      <c r="P582" s="28">
        <f>(Fuentes!P1995/Fuentes!P$47)*100000</f>
        <v>14.173069301216763</v>
      </c>
      <c r="Q582" s="28">
        <f>(Fuentes!Q1995/Fuentes!Q$47)*100000</f>
        <v>11.858074353478303</v>
      </c>
      <c r="R582" s="28">
        <f>(Fuentes!R1995/Fuentes!R$47)*100000</f>
        <v>8.0915072905308474</v>
      </c>
      <c r="S582" s="28">
        <f>(Fuentes!S1995/Fuentes!S$47)*100000</f>
        <v>15.254463259645686</v>
      </c>
      <c r="T582" s="28">
        <f>(Fuentes!T1995/Fuentes!T$47)*100000</f>
        <v>13.420971197261798</v>
      </c>
      <c r="U582" s="28">
        <f>(Fuentes!U1995/Fuentes!U$47)*100000</f>
        <v>13.031157056821241</v>
      </c>
      <c r="V582" s="28">
        <f>(Fuentes!V1995/Fuentes!V$47)*100000</f>
        <v>13.918547631187748</v>
      </c>
    </row>
    <row r="583" spans="1:22" s="14" customFormat="1" ht="12.75" x14ac:dyDescent="0.2">
      <c r="A583" s="28" t="s">
        <v>3198</v>
      </c>
      <c r="B583" s="29" t="s">
        <v>3569</v>
      </c>
      <c r="C583" s="29">
        <f>(Fuentes!C1996/Fuentes!C$47)*100000</f>
        <v>0</v>
      </c>
      <c r="D583" s="30">
        <f>(Fuentes!D1996/Fuentes!D$47)*100000</f>
        <v>0</v>
      </c>
      <c r="E583" s="35">
        <f>(Fuentes!E1996/Fuentes!E$47)*100000</f>
        <v>0</v>
      </c>
      <c r="F583" s="28">
        <f>(Fuentes!F1996/Fuentes!F$47)*100000</f>
        <v>0</v>
      </c>
      <c r="G583" s="28">
        <f>(Fuentes!G1996/Fuentes!G$47)*100000</f>
        <v>0</v>
      </c>
      <c r="H583" s="36">
        <f>(Fuentes!H1996/Fuentes!H$47)*100000</f>
        <v>0</v>
      </c>
      <c r="I583" s="28">
        <f>(Fuentes!I1996/Fuentes!I$47)*100000</f>
        <v>0</v>
      </c>
      <c r="J583" s="28">
        <f>(Fuentes!J1996/Fuentes!J$47)*100000</f>
        <v>0</v>
      </c>
      <c r="K583" s="28">
        <f>(Fuentes!K1996/Fuentes!K$47)*100000</f>
        <v>0</v>
      </c>
      <c r="L583" s="28">
        <f>(Fuentes!L1996/Fuentes!L$47)*100000</f>
        <v>0</v>
      </c>
      <c r="M583" s="28">
        <f>(Fuentes!M1996/Fuentes!M$47)*100000</f>
        <v>0</v>
      </c>
      <c r="N583" s="28">
        <f>(Fuentes!N1996/Fuentes!N$47)*100000</f>
        <v>0</v>
      </c>
      <c r="O583" s="28">
        <f>(Fuentes!O1996/Fuentes!O$47)*100000</f>
        <v>0</v>
      </c>
      <c r="P583" s="28">
        <f>(Fuentes!P1996/Fuentes!P$47)*100000</f>
        <v>0</v>
      </c>
      <c r="Q583" s="28">
        <f>(Fuentes!Q1996/Fuentes!Q$47)*100000</f>
        <v>2.095066140190513E-2</v>
      </c>
      <c r="R583" s="28">
        <f>(Fuentes!R1996/Fuentes!R$47)*100000</f>
        <v>8.277756818957388E-2</v>
      </c>
      <c r="S583" s="28">
        <f>(Fuentes!S1996/Fuentes!S$47)*100000</f>
        <v>0</v>
      </c>
      <c r="T583" s="28">
        <f>(Fuentes!T1996/Fuentes!T$47)*100000</f>
        <v>0</v>
      </c>
      <c r="U583" s="28">
        <f>(Fuentes!U1996/Fuentes!U$47)*100000</f>
        <v>0</v>
      </c>
      <c r="V583" s="28">
        <f>(Fuentes!V1996/Fuentes!V$47)*100000</f>
        <v>0</v>
      </c>
    </row>
    <row r="584" spans="1:22" s="14" customFormat="1" ht="12.75" x14ac:dyDescent="0.2">
      <c r="A584" s="28" t="s">
        <v>3198</v>
      </c>
      <c r="B584" s="29" t="s">
        <v>3570</v>
      </c>
      <c r="C584" s="29">
        <f>(Fuentes!C1997/Fuentes!C$47)*100000</f>
        <v>0</v>
      </c>
      <c r="D584" s="30">
        <f>(Fuentes!D1997/Fuentes!D$47)*100000</f>
        <v>0</v>
      </c>
      <c r="E584" s="35">
        <f>(Fuentes!E1997/Fuentes!E$47)*100000</f>
        <v>0</v>
      </c>
      <c r="F584" s="28">
        <f>(Fuentes!F1997/Fuentes!F$47)*100000</f>
        <v>0</v>
      </c>
      <c r="G584" s="28">
        <f>(Fuentes!G1997/Fuentes!G$47)*100000</f>
        <v>0</v>
      </c>
      <c r="H584" s="28">
        <f>(Fuentes!H1997/Fuentes!H$47)*100000</f>
        <v>0</v>
      </c>
      <c r="I584" s="28">
        <f>(Fuentes!I1997/Fuentes!I$47)*100000</f>
        <v>0</v>
      </c>
      <c r="J584" s="28">
        <f>(Fuentes!J1997/Fuentes!J$47)*100000</f>
        <v>0</v>
      </c>
      <c r="K584" s="28">
        <f>(Fuentes!K1997/Fuentes!K$47)*100000</f>
        <v>0</v>
      </c>
      <c r="L584" s="28">
        <f>(Fuentes!L1997/Fuentes!L$47)*100000</f>
        <v>1.9018480817177132</v>
      </c>
      <c r="M584" s="28">
        <f>(Fuentes!M1997/Fuentes!M$47)*100000</f>
        <v>4.4773874289959146</v>
      </c>
      <c r="N584" s="36">
        <f>(Fuentes!N1997/Fuentes!N$47)*100000</f>
        <v>6.8377602023628592</v>
      </c>
      <c r="O584" s="28">
        <f>(Fuentes!O1997/Fuentes!O$47)*100000</f>
        <v>9.9947318091044917</v>
      </c>
      <c r="P584" s="28">
        <f>(Fuentes!P1997/Fuentes!P$47)*100000</f>
        <v>14.109417792378963</v>
      </c>
      <c r="Q584" s="28">
        <f>(Fuentes!Q1997/Fuentes!Q$47)*100000</f>
        <v>20.364042882651784</v>
      </c>
      <c r="R584" s="28">
        <f>(Fuentes!R1997/Fuentes!R$47)*100000</f>
        <v>10.326501631649341</v>
      </c>
      <c r="S584" s="28">
        <f>(Fuentes!S1997/Fuentes!S$47)*100000</f>
        <v>11.062553114568789</v>
      </c>
      <c r="T584" s="28">
        <f>(Fuentes!T1997/Fuentes!T$47)*100000</f>
        <v>13.966703459801058</v>
      </c>
      <c r="U584" s="28">
        <f>(Fuentes!U1997/Fuentes!U$47)*100000</f>
        <v>13.410899363691799</v>
      </c>
      <c r="V584" s="28">
        <f>(Fuentes!V1997/Fuentes!V$47)*100000</f>
        <v>11.684462571068122</v>
      </c>
    </row>
    <row r="585" spans="1:22" s="14" customFormat="1" ht="12.75" x14ac:dyDescent="0.2">
      <c r="A585" s="28" t="s">
        <v>3198</v>
      </c>
      <c r="B585" s="29" t="s">
        <v>3571</v>
      </c>
      <c r="C585" s="29">
        <f>(Fuentes!C1998/Fuentes!C$47)*100000</f>
        <v>0</v>
      </c>
      <c r="D585" s="30">
        <f>(Fuentes!D1998/Fuentes!D$47)*100000</f>
        <v>0</v>
      </c>
      <c r="E585" s="35">
        <f>(Fuentes!E1998/Fuentes!E$47)*100000</f>
        <v>0</v>
      </c>
      <c r="F585" s="28">
        <f>(Fuentes!F1998/Fuentes!F$47)*100000</f>
        <v>0</v>
      </c>
      <c r="G585" s="28">
        <f>(Fuentes!G1998/Fuentes!G$47)*100000</f>
        <v>0</v>
      </c>
      <c r="H585" s="36">
        <f>(Fuentes!H1998/Fuentes!H$47)*100000</f>
        <v>0</v>
      </c>
      <c r="I585" s="28">
        <f>(Fuentes!I1998/Fuentes!I$47)*100000</f>
        <v>0</v>
      </c>
      <c r="J585" s="28">
        <f>(Fuentes!J1998/Fuentes!J$47)*100000</f>
        <v>0</v>
      </c>
      <c r="K585" s="28">
        <f>(Fuentes!K1998/Fuentes!K$47)*100000</f>
        <v>0</v>
      </c>
      <c r="L585" s="28">
        <f>(Fuentes!L1998/Fuentes!L$47)*100000</f>
        <v>0</v>
      </c>
      <c r="M585" s="28">
        <f>(Fuentes!M1998/Fuentes!M$47)*100000</f>
        <v>0</v>
      </c>
      <c r="N585" s="28">
        <f>(Fuentes!N1998/Fuentes!N$47)*100000</f>
        <v>0</v>
      </c>
      <c r="O585" s="28">
        <f>(Fuentes!O1998/Fuentes!O$47)*100000</f>
        <v>0</v>
      </c>
      <c r="P585" s="28">
        <f>(Fuentes!P1998/Fuentes!P$47)*100000</f>
        <v>0.46677773147719875</v>
      </c>
      <c r="Q585" s="28">
        <f>(Fuentes!Q1998/Fuentes!Q$47)*100000</f>
        <v>0.25140793682286156</v>
      </c>
      <c r="R585" s="28">
        <f>(Fuentes!R1998/Fuentes!R$47)*100000</f>
        <v>2.069439204739347E-2</v>
      </c>
      <c r="S585" s="28">
        <f>(Fuentes!S1998/Fuentes!S$47)*100000</f>
        <v>8.1793368684427284E-2</v>
      </c>
      <c r="T585" s="28">
        <f>(Fuentes!T1998/Fuentes!T$47)*100000</f>
        <v>0</v>
      </c>
      <c r="U585" s="28">
        <f>(Fuentes!U1998/Fuentes!U$47)*100000</f>
        <v>9.9932186018567806E-2</v>
      </c>
      <c r="V585" s="28">
        <f>(Fuentes!V1998/Fuentes!V$47)*100000</f>
        <v>5.9311992746538693E-2</v>
      </c>
    </row>
    <row r="586" spans="1:22" s="14" customFormat="1" ht="12.75" x14ac:dyDescent="0.2">
      <c r="A586" s="28" t="s">
        <v>3198</v>
      </c>
      <c r="B586" s="29" t="s">
        <v>3572</v>
      </c>
      <c r="C586" s="29">
        <f>(Fuentes!C1999/Fuentes!C$47)*100000</f>
        <v>0</v>
      </c>
      <c r="D586" s="30">
        <f>(Fuentes!D1999/Fuentes!D$47)*100000</f>
        <v>0</v>
      </c>
      <c r="E586" s="35">
        <f>(Fuentes!E1999/Fuentes!E$47)*100000</f>
        <v>0</v>
      </c>
      <c r="F586" s="28">
        <f>(Fuentes!F1999/Fuentes!F$47)*100000</f>
        <v>0</v>
      </c>
      <c r="G586" s="28">
        <f>(Fuentes!G1999/Fuentes!G$47)*100000</f>
        <v>0</v>
      </c>
      <c r="H586" s="28">
        <f>(Fuentes!H1999/Fuentes!H$47)*100000</f>
        <v>0</v>
      </c>
      <c r="I586" s="28">
        <f>(Fuentes!I1999/Fuentes!I$47)*100000</f>
        <v>0</v>
      </c>
      <c r="J586" s="28">
        <f>(Fuentes!J1999/Fuentes!J$47)*100000</f>
        <v>0</v>
      </c>
      <c r="K586" s="28">
        <f>(Fuentes!K1999/Fuentes!K$47)*100000</f>
        <v>0</v>
      </c>
      <c r="L586" s="28">
        <f>(Fuentes!L1999/Fuentes!L$47)*100000</f>
        <v>0</v>
      </c>
      <c r="M586" s="28">
        <f>(Fuentes!M1999/Fuentes!M$47)*100000</f>
        <v>0</v>
      </c>
      <c r="N586" s="36">
        <f>(Fuentes!N1999/Fuentes!N$47)*100000</f>
        <v>0</v>
      </c>
      <c r="O586" s="28">
        <f>(Fuentes!O1999/Fuentes!O$47)*100000</f>
        <v>1.0102202043610991</v>
      </c>
      <c r="P586" s="28">
        <f>(Fuentes!P1999/Fuentes!P$47)*100000</f>
        <v>1.888328095521395</v>
      </c>
      <c r="Q586" s="28">
        <f>(Fuentes!Q1999/Fuentes!Q$47)*100000</f>
        <v>1.4874969595352641</v>
      </c>
      <c r="R586" s="28">
        <f>(Fuentes!R1999/Fuentes!R$47)*100000</f>
        <v>2.4626326536398224</v>
      </c>
      <c r="S586" s="28">
        <f>(Fuentes!S1999/Fuentes!S$47)*100000</f>
        <v>2.5560427713883525</v>
      </c>
      <c r="T586" s="28">
        <f>(Fuentes!T1999/Fuentes!T$47)*100000</f>
        <v>5.1137134230530652</v>
      </c>
      <c r="U586" s="28">
        <f>(Fuentes!U1999/Fuentes!U$47)*100000</f>
        <v>8.2743850023374126</v>
      </c>
      <c r="V586" s="28">
        <f>(Fuentes!V1999/Fuentes!V$47)*100000</f>
        <v>10.241204080902349</v>
      </c>
    </row>
    <row r="587" spans="1:22" s="14" customFormat="1" ht="12.75" x14ac:dyDescent="0.2">
      <c r="A587" s="28" t="s">
        <v>3198</v>
      </c>
      <c r="B587" s="29" t="s">
        <v>3573</v>
      </c>
      <c r="C587" s="29">
        <f>(Fuentes!C2000/Fuentes!C$47)*100000</f>
        <v>0</v>
      </c>
      <c r="D587" s="30">
        <f>(Fuentes!D2000/Fuentes!D$47)*100000</f>
        <v>0</v>
      </c>
      <c r="E587" s="35">
        <f>(Fuentes!E2000/Fuentes!E$47)*100000</f>
        <v>0</v>
      </c>
      <c r="F587" s="28">
        <f>(Fuentes!F2000/Fuentes!F$47)*100000</f>
        <v>0</v>
      </c>
      <c r="G587" s="28">
        <f>(Fuentes!G2000/Fuentes!G$47)*100000</f>
        <v>0</v>
      </c>
      <c r="H587" s="36">
        <f>(Fuentes!H2000/Fuentes!H$47)*100000</f>
        <v>0</v>
      </c>
      <c r="I587" s="28">
        <f>(Fuentes!I2000/Fuentes!I$47)*100000</f>
        <v>0</v>
      </c>
      <c r="J587" s="28">
        <f>(Fuentes!J2000/Fuentes!J$47)*100000</f>
        <v>0</v>
      </c>
      <c r="K587" s="28">
        <f>(Fuentes!K2000/Fuentes!K$47)*100000</f>
        <v>0</v>
      </c>
      <c r="L587" s="28">
        <f>(Fuentes!L2000/Fuentes!L$47)*100000</f>
        <v>0</v>
      </c>
      <c r="M587" s="28">
        <f>(Fuentes!M2000/Fuentes!M$47)*100000</f>
        <v>0</v>
      </c>
      <c r="N587" s="28">
        <f>(Fuentes!N2000/Fuentes!N$47)*100000</f>
        <v>0</v>
      </c>
      <c r="O587" s="28">
        <f>(Fuentes!O2000/Fuentes!O$47)*100000</f>
        <v>0</v>
      </c>
      <c r="P587" s="28">
        <f>(Fuentes!P2000/Fuentes!P$47)*100000</f>
        <v>0</v>
      </c>
      <c r="Q587" s="28">
        <f>(Fuentes!Q2000/Fuentes!Q$47)*100000</f>
        <v>6.2851984205715389E-2</v>
      </c>
      <c r="R587" s="28">
        <f>(Fuentes!R2000/Fuentes!R$47)*100000</f>
        <v>2.069439204739347E-2</v>
      </c>
      <c r="S587" s="28">
        <f>(Fuentes!S2000/Fuentes!S$47)*100000</f>
        <v>2.0448342171106821E-2</v>
      </c>
      <c r="T587" s="28">
        <f>(Fuentes!T2000/Fuentes!T$47)*100000</f>
        <v>2.0212306019972589E-2</v>
      </c>
      <c r="U587" s="28">
        <f>(Fuentes!U2000/Fuentes!U$47)*100000</f>
        <v>0</v>
      </c>
      <c r="V587" s="28">
        <f>(Fuentes!V2000/Fuentes!V$47)*100000</f>
        <v>0</v>
      </c>
    </row>
    <row r="588" spans="1:22" s="14" customFormat="1" ht="12.75" x14ac:dyDescent="0.2">
      <c r="A588" s="28" t="s">
        <v>3198</v>
      </c>
      <c r="B588" s="29" t="s">
        <v>3574</v>
      </c>
      <c r="C588" s="29">
        <f>(Fuentes!C2001/Fuentes!C$47)*100000</f>
        <v>0</v>
      </c>
      <c r="D588" s="30">
        <f>(Fuentes!D2001/Fuentes!D$47)*100000</f>
        <v>0</v>
      </c>
      <c r="E588" s="35">
        <f>(Fuentes!E2001/Fuentes!E$47)*100000</f>
        <v>4.9721176074866168E-2</v>
      </c>
      <c r="F588" s="28">
        <f>(Fuentes!F2001/Fuentes!F$47)*100000</f>
        <v>0</v>
      </c>
      <c r="G588" s="28">
        <f>(Fuentes!G2001/Fuentes!G$47)*100000</f>
        <v>0.43354449358751562</v>
      </c>
      <c r="H588" s="28">
        <f>(Fuentes!H2001/Fuentes!H$47)*100000</f>
        <v>1.0438294496551568</v>
      </c>
      <c r="I588" s="28">
        <f>(Fuentes!I2001/Fuentes!I$47)*100000</f>
        <v>0.79464205582313707</v>
      </c>
      <c r="J588" s="28">
        <f>(Fuentes!J2001/Fuentes!J$47)*100000</f>
        <v>1.9353099606256581</v>
      </c>
      <c r="K588" s="28">
        <f>(Fuentes!K2001/Fuentes!K$47)*100000</f>
        <v>5.7900724099643739</v>
      </c>
      <c r="L588" s="28">
        <f>(Fuentes!L2001/Fuentes!L$47)*100000</f>
        <v>5.4594227286955537</v>
      </c>
      <c r="M588" s="28">
        <f>(Fuentes!M2001/Fuentes!M$47)*100000</f>
        <v>5.624304405881567</v>
      </c>
      <c r="N588" s="36">
        <f>(Fuentes!N2001/Fuentes!N$47)*100000</f>
        <v>5.1392083049606203</v>
      </c>
      <c r="O588" s="28">
        <f>(Fuentes!O2001/Fuentes!O$47)*100000</f>
        <v>9.3069223082628927</v>
      </c>
      <c r="P588" s="28">
        <f>(Fuentes!P2001/Fuentes!P$47)*100000</f>
        <v>4.0736965656191888</v>
      </c>
      <c r="Q588" s="28">
        <f>(Fuentes!Q2001/Fuentes!Q$47)*100000</f>
        <v>4.4205895558019819</v>
      </c>
      <c r="R588" s="28">
        <f>(Fuentes!R2001/Fuentes!R$47)*100000</f>
        <v>20.135643462113844</v>
      </c>
      <c r="S588" s="28">
        <f>(Fuentes!S2001/Fuentes!S$47)*100000</f>
        <v>23.679180234141697</v>
      </c>
      <c r="T588" s="28">
        <f>(Fuentes!T2001/Fuentes!T$47)*100000</f>
        <v>11.318891371184648</v>
      </c>
      <c r="U588" s="28">
        <f>(Fuentes!U2001/Fuentes!U$47)*100000</f>
        <v>11.332309894505588</v>
      </c>
      <c r="V588" s="28">
        <f>(Fuentes!V2001/Fuentes!V$47)*100000</f>
        <v>14.669832872643907</v>
      </c>
    </row>
    <row r="589" spans="1:22" s="14" customFormat="1" ht="12.75" x14ac:dyDescent="0.2">
      <c r="A589" s="28" t="s">
        <v>3198</v>
      </c>
      <c r="B589" s="29" t="s">
        <v>3575</v>
      </c>
      <c r="C589" s="29">
        <f>(Fuentes!C2002/Fuentes!C$47)*100000</f>
        <v>28.793892286051697</v>
      </c>
      <c r="D589" s="30">
        <f>(Fuentes!D2002/Fuentes!D$47)*100000</f>
        <v>44.265773729047424</v>
      </c>
      <c r="E589" s="35">
        <f>(Fuentes!E2002/Fuentes!E$47)*100000</f>
        <v>36.097573830352836</v>
      </c>
      <c r="F589" s="28">
        <f>(Fuentes!F2002/Fuentes!F$47)*100000</f>
        <v>61.105054442719215</v>
      </c>
      <c r="G589" s="28">
        <f>(Fuentes!G2002/Fuentes!G$47)*100000</f>
        <v>64.212756661350923</v>
      </c>
      <c r="H589" s="36">
        <f>(Fuentes!H2002/Fuentes!H$47)*100000</f>
        <v>76.60284756673866</v>
      </c>
      <c r="I589" s="28">
        <f>(Fuentes!I2002/Fuentes!I$47)*100000</f>
        <v>70.279078290005089</v>
      </c>
      <c r="J589" s="28">
        <f>(Fuentes!J2002/Fuentes!J$47)*100000</f>
        <v>81.720767027847728</v>
      </c>
      <c r="K589" s="28">
        <f>(Fuentes!K2002/Fuentes!K$47)*100000</f>
        <v>130.71939946731334</v>
      </c>
      <c r="L589" s="28">
        <f>(Fuentes!L2002/Fuentes!L$47)*100000</f>
        <v>152.66246425364656</v>
      </c>
      <c r="M589" s="28">
        <f>(Fuentes!M2002/Fuentes!M$47)*100000</f>
        <v>138.79901029887333</v>
      </c>
      <c r="N589" s="28">
        <f>(Fuentes!N2002/Fuentes!N$47)*100000</f>
        <v>116.96054155060803</v>
      </c>
      <c r="O589" s="28">
        <f>(Fuentes!O2002/Fuentes!O$47)*100000</f>
        <v>104.37509175271272</v>
      </c>
      <c r="P589" s="28">
        <f>(Fuentes!P2002/Fuentes!P$47)*100000</f>
        <v>69.061887089012814</v>
      </c>
      <c r="Q589" s="28">
        <f>(Fuentes!Q2002/Fuentes!Q$47)*100000</f>
        <v>65.847928786187808</v>
      </c>
      <c r="R589" s="28">
        <f>(Fuentes!R2002/Fuentes!R$47)*100000</f>
        <v>60.38623599429414</v>
      </c>
      <c r="S589" s="28">
        <f>(Fuentes!S2002/Fuentes!S$47)*100000</f>
        <v>56.212492628372651</v>
      </c>
      <c r="T589" s="28">
        <f>(Fuentes!T2002/Fuentes!T$47)*100000</f>
        <v>55.846601533184263</v>
      </c>
      <c r="U589" s="28">
        <f>(Fuentes!U2002/Fuentes!U$47)*100000</f>
        <v>52.884112841026081</v>
      </c>
      <c r="V589" s="28">
        <f>(Fuentes!V2002/Fuentes!V$47)*100000</f>
        <v>58.600248833580231</v>
      </c>
    </row>
    <row r="590" spans="1:22" s="14" customFormat="1" ht="12.75" x14ac:dyDescent="0.2">
      <c r="A590" s="28" t="s">
        <v>3198</v>
      </c>
      <c r="B590" s="29" t="s">
        <v>3576</v>
      </c>
      <c r="C590" s="29">
        <f>(Fuentes!C2003/Fuentes!C$47)*100000</f>
        <v>0</v>
      </c>
      <c r="D590" s="30">
        <f>(Fuentes!D2003/Fuentes!D$47)*100000</f>
        <v>0</v>
      </c>
      <c r="E590" s="35">
        <f>(Fuentes!E2003/Fuentes!E$47)*100000</f>
        <v>0</v>
      </c>
      <c r="F590" s="28">
        <f>(Fuentes!F2003/Fuentes!F$47)*100000</f>
        <v>0</v>
      </c>
      <c r="G590" s="28">
        <f>(Fuentes!G2003/Fuentes!G$47)*100000</f>
        <v>0</v>
      </c>
      <c r="H590" s="28">
        <f>(Fuentes!H2003/Fuentes!H$47)*100000</f>
        <v>0</v>
      </c>
      <c r="I590" s="28">
        <f>(Fuentes!I2003/Fuentes!I$47)*100000</f>
        <v>0</v>
      </c>
      <c r="J590" s="28">
        <f>(Fuentes!J2003/Fuentes!J$47)*100000</f>
        <v>0.27647285151795115</v>
      </c>
      <c r="K590" s="28">
        <f>(Fuentes!K2003/Fuentes!K$47)*100000</f>
        <v>4.5412332627171564E-2</v>
      </c>
      <c r="L590" s="28">
        <f>(Fuentes!L2003/Fuentes!L$47)*100000</f>
        <v>2.237468331432604E-2</v>
      </c>
      <c r="M590" s="28">
        <f>(Fuentes!M2003/Fuentes!M$47)*100000</f>
        <v>2.2056095709339477E-2</v>
      </c>
      <c r="N590" s="36">
        <f>(Fuentes!N2003/Fuentes!N$47)*100000</f>
        <v>2.1776306376951781E-2</v>
      </c>
      <c r="O590" s="28">
        <f>(Fuentes!O2003/Fuentes!O$47)*100000</f>
        <v>0</v>
      </c>
      <c r="P590" s="28">
        <f>(Fuentes!P2003/Fuentes!P$47)*100000</f>
        <v>0</v>
      </c>
      <c r="Q590" s="28">
        <f>(Fuentes!Q2003/Fuentes!Q$47)*100000</f>
        <v>0</v>
      </c>
      <c r="R590" s="28">
        <f>(Fuentes!R2003/Fuentes!R$47)*100000</f>
        <v>0</v>
      </c>
      <c r="S590" s="28">
        <f>(Fuentes!S2003/Fuentes!S$47)*100000</f>
        <v>2.0448342171106821E-2</v>
      </c>
      <c r="T590" s="28">
        <f>(Fuentes!T2003/Fuentes!T$47)*100000</f>
        <v>0</v>
      </c>
      <c r="U590" s="28">
        <f>(Fuentes!U2003/Fuentes!U$47)*100000</f>
        <v>0</v>
      </c>
      <c r="V590" s="28">
        <f>(Fuentes!V2003/Fuentes!V$47)*100000</f>
        <v>0</v>
      </c>
    </row>
    <row r="591" spans="1:22" s="14" customFormat="1" ht="12.75" x14ac:dyDescent="0.2">
      <c r="A591" s="28" t="s">
        <v>3198</v>
      </c>
      <c r="B591" s="29" t="s">
        <v>3577</v>
      </c>
      <c r="C591" s="29">
        <f>(Fuentes!C2004/Fuentes!C$47)*100000</f>
        <v>0</v>
      </c>
      <c r="D591" s="30">
        <f>(Fuentes!D2004/Fuentes!D$47)*100000</f>
        <v>0</v>
      </c>
      <c r="E591" s="35">
        <f>(Fuentes!E2004/Fuentes!E$47)*100000</f>
        <v>0</v>
      </c>
      <c r="F591" s="28">
        <f>(Fuentes!F2004/Fuentes!F$47)*100000</f>
        <v>0</v>
      </c>
      <c r="G591" s="28">
        <f>(Fuentes!G2004/Fuentes!G$47)*100000</f>
        <v>0</v>
      </c>
      <c r="H591" s="36">
        <f>(Fuentes!H2004/Fuentes!H$47)*100000</f>
        <v>0</v>
      </c>
      <c r="I591" s="28">
        <f>(Fuentes!I2004/Fuentes!I$47)*100000</f>
        <v>0</v>
      </c>
      <c r="J591" s="28">
        <f>(Fuentes!J2004/Fuentes!J$47)*100000</f>
        <v>0</v>
      </c>
      <c r="K591" s="28">
        <f>(Fuentes!K2004/Fuentes!K$47)*100000</f>
        <v>0.13623699788151469</v>
      </c>
      <c r="L591" s="28">
        <f>(Fuentes!L2004/Fuentes!L$47)*100000</f>
        <v>0.13424809988595623</v>
      </c>
      <c r="M591" s="28">
        <f>(Fuentes!M2004/Fuentes!M$47)*100000</f>
        <v>6.6168287128018421E-2</v>
      </c>
      <c r="N591" s="28">
        <f>(Fuentes!N2004/Fuentes!N$47)*100000</f>
        <v>0</v>
      </c>
      <c r="O591" s="28">
        <f>(Fuentes!O2004/Fuentes!O$47)*100000</f>
        <v>0</v>
      </c>
      <c r="P591" s="28">
        <f>(Fuentes!P2004/Fuentes!P$47)*100000</f>
        <v>0</v>
      </c>
      <c r="Q591" s="28">
        <f>(Fuentes!Q2004/Fuentes!Q$47)*100000</f>
        <v>0</v>
      </c>
      <c r="R591" s="28">
        <f>(Fuentes!R2004/Fuentes!R$47)*100000</f>
        <v>6.2083176142180403E-2</v>
      </c>
      <c r="S591" s="28">
        <f>(Fuentes!S2004/Fuentes!S$47)*100000</f>
        <v>2.0448342171106821E-2</v>
      </c>
      <c r="T591" s="28">
        <f>(Fuentes!T2004/Fuentes!T$47)*100000</f>
        <v>4.0424612039945178E-2</v>
      </c>
      <c r="U591" s="28">
        <f>(Fuentes!U2004/Fuentes!U$47)*100000</f>
        <v>9.9932186018567806E-2</v>
      </c>
      <c r="V591" s="28">
        <f>(Fuentes!V2004/Fuentes!V$47)*100000</f>
        <v>3.9541328497692464E-2</v>
      </c>
    </row>
    <row r="592" spans="1:22" s="14" customFormat="1" ht="12.75" x14ac:dyDescent="0.2">
      <c r="A592" s="28" t="s">
        <v>3198</v>
      </c>
      <c r="B592" s="29" t="s">
        <v>3578</v>
      </c>
      <c r="C592" s="29">
        <f>(Fuentes!C2005/Fuentes!C$47)*100000</f>
        <v>0</v>
      </c>
      <c r="D592" s="30">
        <f>(Fuentes!D2005/Fuentes!D$47)*100000</f>
        <v>0</v>
      </c>
      <c r="E592" s="35">
        <f>(Fuentes!E2005/Fuentes!E$47)*100000</f>
        <v>0</v>
      </c>
      <c r="F592" s="28">
        <f>(Fuentes!F2005/Fuentes!F$47)*100000</f>
        <v>0</v>
      </c>
      <c r="G592" s="28">
        <f>(Fuentes!G2005/Fuentes!G$47)*100000</f>
        <v>0</v>
      </c>
      <c r="H592" s="28">
        <f>(Fuentes!H2005/Fuentes!H$47)*100000</f>
        <v>0</v>
      </c>
      <c r="I592" s="28">
        <f>(Fuentes!I2005/Fuentes!I$47)*100000</f>
        <v>0</v>
      </c>
      <c r="J592" s="28">
        <f>(Fuentes!J2005/Fuentes!J$47)*100000</f>
        <v>4.1701321770624302</v>
      </c>
      <c r="K592" s="28">
        <f>(Fuentes!K2005/Fuentes!K$47)*100000</f>
        <v>4.563939429030742</v>
      </c>
      <c r="L592" s="28">
        <f>(Fuentes!L2005/Fuentes!L$47)*100000</f>
        <v>1.9689721316606916</v>
      </c>
      <c r="M592" s="28">
        <f>(Fuentes!M2005/Fuentes!M$47)*100000</f>
        <v>0.44112191418678953</v>
      </c>
      <c r="N592" s="36">
        <f>(Fuentes!N2005/Fuentes!N$47)*100000</f>
        <v>0.97993378696283018</v>
      </c>
      <c r="O592" s="28">
        <f>(Fuentes!O2005/Fuentes!O$47)*100000</f>
        <v>1.0747023450649991</v>
      </c>
      <c r="P592" s="28">
        <f>(Fuentes!P2005/Fuentes!P$47)*100000</f>
        <v>1.6761563993953954</v>
      </c>
      <c r="Q592" s="28">
        <f>(Fuentes!Q2005/Fuentes!Q$47)*100000</f>
        <v>2.4302767226209947</v>
      </c>
      <c r="R592" s="28">
        <f>(Fuentes!R2005/Fuentes!R$47)*100000</f>
        <v>2.5454102218293966</v>
      </c>
      <c r="S592" s="28">
        <f>(Fuentes!S2005/Fuentes!S$47)*100000</f>
        <v>2.0243858749395751</v>
      </c>
      <c r="T592" s="28">
        <f>(Fuentes!T2005/Fuentes!T$47)*100000</f>
        <v>2.7488736187162721</v>
      </c>
      <c r="U592" s="28">
        <f>(Fuentes!U2005/Fuentes!U$47)*100000</f>
        <v>5.1565007985580982</v>
      </c>
      <c r="V592" s="28">
        <f>(Fuentes!V2005/Fuentes!V$47)*100000</f>
        <v>5.8521166176584849</v>
      </c>
    </row>
    <row r="593" spans="1:22" s="14" customFormat="1" ht="12.75" x14ac:dyDescent="0.2">
      <c r="A593" s="28" t="s">
        <v>3198</v>
      </c>
      <c r="B593" s="29" t="s">
        <v>3579</v>
      </c>
      <c r="C593" s="29">
        <f>(Fuentes!C2006/Fuentes!C$47)*100000</f>
        <v>0</v>
      </c>
      <c r="D593" s="30">
        <f>(Fuentes!D2006/Fuentes!D$47)*100000</f>
        <v>0</v>
      </c>
      <c r="E593" s="35">
        <f>(Fuentes!E2006/Fuentes!E$47)*100000</f>
        <v>0</v>
      </c>
      <c r="F593" s="28">
        <f>(Fuentes!F2006/Fuentes!F$47)*100000</f>
        <v>0</v>
      </c>
      <c r="G593" s="28">
        <f>(Fuentes!G2006/Fuentes!G$47)*100000</f>
        <v>0</v>
      </c>
      <c r="H593" s="36">
        <f>(Fuentes!H2006/Fuentes!H$47)*100000</f>
        <v>0</v>
      </c>
      <c r="I593" s="28">
        <f>(Fuentes!I2006/Fuentes!I$47)*100000</f>
        <v>0</v>
      </c>
      <c r="J593" s="28">
        <f>(Fuentes!J2006/Fuentes!J$47)*100000</f>
        <v>1.1750096189512924</v>
      </c>
      <c r="K593" s="28">
        <f>(Fuentes!K2006/Fuentes!K$47)*100000</f>
        <v>0.45412332627171559</v>
      </c>
      <c r="L593" s="28">
        <f>(Fuentes!L2006/Fuentes!L$47)*100000</f>
        <v>0.8502379659443895</v>
      </c>
      <c r="M593" s="28">
        <f>(Fuentes!M2006/Fuentes!M$47)*100000</f>
        <v>1.1910291683043317</v>
      </c>
      <c r="N593" s="28">
        <f>(Fuentes!N2006/Fuentes!N$47)*100000</f>
        <v>0.97993378696283018</v>
      </c>
      <c r="O593" s="28">
        <f>(Fuentes!O2006/Fuentes!O$47)*100000</f>
        <v>0.8382678291506992</v>
      </c>
      <c r="P593" s="28">
        <f>(Fuentes!P2006/Fuentes!P$47)*100000</f>
        <v>1.0396413110173972</v>
      </c>
      <c r="Q593" s="28">
        <f>(Fuentes!Q2006/Fuentes!Q$47)*100000</f>
        <v>0.87992777888001528</v>
      </c>
      <c r="R593" s="28">
        <f>(Fuentes!R2006/Fuentes!R$47)*100000</f>
        <v>0.57944297732701711</v>
      </c>
      <c r="S593" s="28">
        <f>(Fuentes!S2006/Fuentes!S$47)*100000</f>
        <v>0.94062373987091374</v>
      </c>
      <c r="T593" s="28">
        <f>(Fuentes!T2006/Fuentes!T$47)*100000</f>
        <v>1.1723137491584101</v>
      </c>
      <c r="U593" s="28">
        <f>(Fuentes!U2006/Fuentes!U$47)*100000</f>
        <v>0.69952530212997455</v>
      </c>
      <c r="V593" s="28">
        <f>(Fuentes!V2006/Fuentes!V$47)*100000</f>
        <v>1.186239854930774</v>
      </c>
    </row>
    <row r="594" spans="1:22" s="14" customFormat="1" ht="12.75" x14ac:dyDescent="0.2">
      <c r="A594" s="28" t="s">
        <v>3198</v>
      </c>
      <c r="B594" s="29" t="s">
        <v>3580</v>
      </c>
      <c r="C594" s="29">
        <f>(Fuentes!C2007/Fuentes!C$47)*100000</f>
        <v>0</v>
      </c>
      <c r="D594" s="30">
        <f>(Fuentes!D2007/Fuentes!D$47)*100000</f>
        <v>0</v>
      </c>
      <c r="E594" s="35">
        <f>(Fuentes!E2007/Fuentes!E$47)*100000</f>
        <v>0</v>
      </c>
      <c r="F594" s="28">
        <f>(Fuentes!F2007/Fuentes!F$47)*100000</f>
        <v>0</v>
      </c>
      <c r="G594" s="28">
        <f>(Fuentes!G2007/Fuentes!G$47)*100000</f>
        <v>0</v>
      </c>
      <c r="H594" s="28">
        <f>(Fuentes!H2007/Fuentes!H$47)*100000</f>
        <v>0</v>
      </c>
      <c r="I594" s="28">
        <f>(Fuentes!I2007/Fuentes!I$47)*100000</f>
        <v>0</v>
      </c>
      <c r="J594" s="28">
        <f>(Fuentes!J2007/Fuentes!J$47)*100000</f>
        <v>0.11519702146581298</v>
      </c>
      <c r="K594" s="28">
        <f>(Fuentes!K2007/Fuentes!K$47)*100000</f>
        <v>0.15894316419510046</v>
      </c>
      <c r="L594" s="28">
        <f>(Fuentes!L2007/Fuentes!L$47)*100000</f>
        <v>4.4749366628652081E-2</v>
      </c>
      <c r="M594" s="28">
        <f>(Fuentes!M2007/Fuentes!M$47)*100000</f>
        <v>0</v>
      </c>
      <c r="N594" s="36">
        <f>(Fuentes!N2007/Fuentes!N$47)*100000</f>
        <v>0</v>
      </c>
      <c r="O594" s="28">
        <f>(Fuentes!O2007/Fuentes!O$47)*100000</f>
        <v>0</v>
      </c>
      <c r="P594" s="28">
        <f>(Fuentes!P2007/Fuentes!P$47)*100000</f>
        <v>0</v>
      </c>
      <c r="Q594" s="28">
        <f>(Fuentes!Q2007/Fuentes!Q$47)*100000</f>
        <v>0</v>
      </c>
      <c r="R594" s="28">
        <f>(Fuentes!R2007/Fuentes!R$47)*100000</f>
        <v>2.069439204739347E-2</v>
      </c>
      <c r="S594" s="28">
        <f>(Fuentes!S2007/Fuentes!S$47)*100000</f>
        <v>0.47031186993545687</v>
      </c>
      <c r="T594" s="28">
        <f>(Fuentes!T2007/Fuentes!T$47)*100000</f>
        <v>0</v>
      </c>
      <c r="U594" s="28">
        <f>(Fuentes!U2007/Fuentes!U$47)*100000</f>
        <v>0</v>
      </c>
      <c r="V594" s="28">
        <f>(Fuentes!V2007/Fuentes!V$47)*100000</f>
        <v>0</v>
      </c>
    </row>
    <row r="595" spans="1:22" s="14" customFormat="1" ht="12.75" x14ac:dyDescent="0.2">
      <c r="A595" s="28" t="s">
        <v>3198</v>
      </c>
      <c r="B595" s="29" t="s">
        <v>3581</v>
      </c>
      <c r="C595" s="29">
        <f>(Fuentes!C2008/Fuentes!C$47)*100000</f>
        <v>0</v>
      </c>
      <c r="D595" s="30">
        <f>(Fuentes!D2008/Fuentes!D$47)*100000</f>
        <v>0</v>
      </c>
      <c r="E595" s="35">
        <f>(Fuentes!E2008/Fuentes!E$47)*100000</f>
        <v>0</v>
      </c>
      <c r="F595" s="28">
        <f>(Fuentes!F2008/Fuentes!F$47)*100000</f>
        <v>0</v>
      </c>
      <c r="G595" s="28">
        <f>(Fuentes!G2008/Fuentes!G$47)*100000</f>
        <v>0</v>
      </c>
      <c r="H595" s="36">
        <f>(Fuentes!H2008/Fuentes!H$47)*100000</f>
        <v>0</v>
      </c>
      <c r="I595" s="28">
        <f>(Fuentes!I2008/Fuentes!I$47)*100000</f>
        <v>0</v>
      </c>
      <c r="J595" s="28">
        <f>(Fuentes!J2008/Fuentes!J$47)*100000</f>
        <v>2.3039404293162594E-2</v>
      </c>
      <c r="K595" s="28">
        <f>(Fuentes!K2008/Fuentes!K$47)*100000</f>
        <v>0</v>
      </c>
      <c r="L595" s="28">
        <f>(Fuentes!L2008/Fuentes!L$47)*100000</f>
        <v>8.9498733257304161E-2</v>
      </c>
      <c r="M595" s="28">
        <f>(Fuentes!M2008/Fuentes!M$47)*100000</f>
        <v>2.2056095709339477E-2</v>
      </c>
      <c r="N595" s="28">
        <f>(Fuentes!N2008/Fuentes!N$47)*100000</f>
        <v>4.3552612753903562E-2</v>
      </c>
      <c r="O595" s="28">
        <f>(Fuentes!O2008/Fuentes!O$47)*100000</f>
        <v>2.1494046901299982E-2</v>
      </c>
      <c r="P595" s="28">
        <f>(Fuentes!P2008/Fuentes!P$47)*100000</f>
        <v>0</v>
      </c>
      <c r="Q595" s="28">
        <f>(Fuentes!Q2008/Fuentes!Q$47)*100000</f>
        <v>0</v>
      </c>
      <c r="R595" s="28">
        <f>(Fuentes!R2008/Fuentes!R$47)*100000</f>
        <v>0</v>
      </c>
      <c r="S595" s="28">
        <f>(Fuentes!S2008/Fuentes!S$47)*100000</f>
        <v>2.0448342171106821E-2</v>
      </c>
      <c r="T595" s="28">
        <f>(Fuentes!T2008/Fuentes!T$47)*100000</f>
        <v>0</v>
      </c>
      <c r="U595" s="28">
        <f>(Fuentes!U2008/Fuentes!U$47)*100000</f>
        <v>0</v>
      </c>
      <c r="V595" s="28">
        <f>(Fuentes!V2008/Fuentes!V$47)*100000</f>
        <v>1.9770664248846232E-2</v>
      </c>
    </row>
    <row r="596" spans="1:22" s="14" customFormat="1" ht="12.75" x14ac:dyDescent="0.2">
      <c r="A596" s="28" t="s">
        <v>3198</v>
      </c>
      <c r="B596" s="29" t="s">
        <v>3582</v>
      </c>
      <c r="C596" s="29">
        <f>(Fuentes!C2009/Fuentes!C$47)*100000</f>
        <v>0</v>
      </c>
      <c r="D596" s="30">
        <f>(Fuentes!D2009/Fuentes!D$47)*100000</f>
        <v>0</v>
      </c>
      <c r="E596" s="35">
        <f>(Fuentes!E2009/Fuentes!E$47)*100000</f>
        <v>0</v>
      </c>
      <c r="F596" s="28">
        <f>(Fuentes!F2009/Fuentes!F$47)*100000</f>
        <v>0</v>
      </c>
      <c r="G596" s="28">
        <f>(Fuentes!G2009/Fuentes!G$47)*100000</f>
        <v>0</v>
      </c>
      <c r="H596" s="28">
        <f>(Fuentes!H2009/Fuentes!H$47)*100000</f>
        <v>0</v>
      </c>
      <c r="I596" s="28">
        <f>(Fuentes!I2009/Fuentes!I$47)*100000</f>
        <v>0</v>
      </c>
      <c r="J596" s="28">
        <f>(Fuentes!J2009/Fuentes!J$47)*100000</f>
        <v>0</v>
      </c>
      <c r="K596" s="28">
        <f>(Fuentes!K2009/Fuentes!K$47)*100000</f>
        <v>0.13623699788151469</v>
      </c>
      <c r="L596" s="28">
        <f>(Fuentes!L2009/Fuentes!L$47)*100000</f>
        <v>2.237468331432604E-2</v>
      </c>
      <c r="M596" s="28">
        <f>(Fuentes!M2009/Fuentes!M$47)*100000</f>
        <v>2.602619293702058</v>
      </c>
      <c r="N596" s="36">
        <f>(Fuentes!N2009/Fuentes!N$47)*100000</f>
        <v>0</v>
      </c>
      <c r="O596" s="28">
        <f>(Fuentes!O2009/Fuentes!O$47)*100000</f>
        <v>0</v>
      </c>
      <c r="P596" s="28">
        <f>(Fuentes!P2009/Fuentes!P$47)*100000</f>
        <v>0</v>
      </c>
      <c r="Q596" s="28">
        <f>(Fuentes!Q2009/Fuentes!Q$47)*100000</f>
        <v>0</v>
      </c>
      <c r="R596" s="28">
        <f>(Fuentes!R2009/Fuentes!R$47)*100000</f>
        <v>0</v>
      </c>
      <c r="S596" s="28">
        <f>(Fuentes!S2009/Fuentes!S$47)*100000</f>
        <v>0</v>
      </c>
      <c r="T596" s="28">
        <f>(Fuentes!T2009/Fuentes!T$47)*100000</f>
        <v>0</v>
      </c>
      <c r="U596" s="28">
        <f>(Fuentes!U2009/Fuentes!U$47)*100000</f>
        <v>0</v>
      </c>
      <c r="V596" s="28">
        <f>(Fuentes!V2009/Fuentes!V$47)*100000</f>
        <v>0</v>
      </c>
    </row>
    <row r="597" spans="1:22" s="14" customFormat="1" ht="12.75" x14ac:dyDescent="0.2">
      <c r="A597" s="28" t="s">
        <v>3198</v>
      </c>
      <c r="B597" s="29" t="s">
        <v>3583</v>
      </c>
      <c r="C597" s="29">
        <f>(Fuentes!C2010/Fuentes!C$47)*100000</f>
        <v>0</v>
      </c>
      <c r="D597" s="30">
        <f>(Fuentes!D2010/Fuentes!D$47)*100000</f>
        <v>0</v>
      </c>
      <c r="E597" s="35">
        <f>(Fuentes!E2010/Fuentes!E$47)*100000</f>
        <v>0</v>
      </c>
      <c r="F597" s="28">
        <f>(Fuentes!F2010/Fuentes!F$47)*100000</f>
        <v>0</v>
      </c>
      <c r="G597" s="28">
        <f>(Fuentes!G2010/Fuentes!G$47)*100000</f>
        <v>0</v>
      </c>
      <c r="H597" s="36">
        <f>(Fuentes!H2010/Fuentes!H$47)*100000</f>
        <v>0</v>
      </c>
      <c r="I597" s="28">
        <f>(Fuentes!I2010/Fuentes!I$47)*100000</f>
        <v>0</v>
      </c>
      <c r="J597" s="28">
        <f>(Fuentes!J2010/Fuentes!J$47)*100000</f>
        <v>4.6078808586325189E-2</v>
      </c>
      <c r="K597" s="28">
        <f>(Fuentes!K2010/Fuentes!K$47)*100000</f>
        <v>0.13623699788151469</v>
      </c>
      <c r="L597" s="28">
        <f>(Fuentes!L2010/Fuentes!L$47)*100000</f>
        <v>2.237468331432604E-2</v>
      </c>
      <c r="M597" s="28">
        <f>(Fuentes!M2010/Fuentes!M$47)*100000</f>
        <v>0</v>
      </c>
      <c r="N597" s="28">
        <f>(Fuentes!N2010/Fuentes!N$47)*100000</f>
        <v>0</v>
      </c>
      <c r="O597" s="28">
        <f>(Fuentes!O2010/Fuentes!O$47)*100000</f>
        <v>8.5976187605199927E-2</v>
      </c>
      <c r="P597" s="28">
        <f>(Fuentes!P2010/Fuentes!P$47)*100000</f>
        <v>6.3651508837799825E-2</v>
      </c>
      <c r="Q597" s="28">
        <f>(Fuentes!Q2010/Fuentes!Q$47)*100000</f>
        <v>0</v>
      </c>
      <c r="R597" s="28">
        <f>(Fuentes!R2010/Fuentes!R$47)*100000</f>
        <v>0</v>
      </c>
      <c r="S597" s="28">
        <f>(Fuentes!S2010/Fuentes!S$47)*100000</f>
        <v>0</v>
      </c>
      <c r="T597" s="28">
        <f>(Fuentes!T2010/Fuentes!T$47)*100000</f>
        <v>0</v>
      </c>
      <c r="U597" s="28">
        <f>(Fuentes!U2010/Fuentes!U$47)*100000</f>
        <v>0</v>
      </c>
      <c r="V597" s="28">
        <f>(Fuentes!V2010/Fuentes!V$47)*100000</f>
        <v>1.9770664248846232E-2</v>
      </c>
    </row>
    <row r="598" spans="1:22" s="14" customFormat="1" ht="12.75" x14ac:dyDescent="0.2">
      <c r="A598" s="28" t="s">
        <v>3198</v>
      </c>
      <c r="B598" s="29" t="s">
        <v>3584</v>
      </c>
      <c r="C598" s="29">
        <f>(Fuentes!C2011/Fuentes!C$47)*100000</f>
        <v>0</v>
      </c>
      <c r="D598" s="30">
        <f>(Fuentes!D2011/Fuentes!D$47)*100000</f>
        <v>0</v>
      </c>
      <c r="E598" s="35">
        <f>(Fuentes!E2011/Fuentes!E$47)*100000</f>
        <v>0</v>
      </c>
      <c r="F598" s="28">
        <f>(Fuentes!F2011/Fuentes!F$47)*100000</f>
        <v>0</v>
      </c>
      <c r="G598" s="28">
        <f>(Fuentes!G2011/Fuentes!G$47)*100000</f>
        <v>0</v>
      </c>
      <c r="H598" s="28">
        <f>(Fuentes!H2011/Fuentes!H$47)*100000</f>
        <v>0</v>
      </c>
      <c r="I598" s="28">
        <f>(Fuentes!I2011/Fuentes!I$47)*100000</f>
        <v>0</v>
      </c>
      <c r="J598" s="28">
        <f>(Fuentes!J2011/Fuentes!J$47)*100000</f>
        <v>45.157232414598688</v>
      </c>
      <c r="K598" s="28">
        <f>(Fuentes!K2011/Fuentes!K$47)*100000</f>
        <v>82.673151547765826</v>
      </c>
      <c r="L598" s="28">
        <f>(Fuentes!L2011/Fuentes!L$47)*100000</f>
        <v>111.91816593825885</v>
      </c>
      <c r="M598" s="28">
        <f>(Fuentes!M2011/Fuentes!M$47)*100000</f>
        <v>99.737664797633116</v>
      </c>
      <c r="N598" s="36">
        <f>(Fuentes!N2011/Fuentes!N$47)*100000</f>
        <v>87.845619924623492</v>
      </c>
      <c r="O598" s="28">
        <f>(Fuentes!O2011/Fuentes!O$47)*100000</f>
        <v>79.484985441007339</v>
      </c>
      <c r="P598" s="28">
        <f>(Fuentes!P2011/Fuentes!P$47)*100000</f>
        <v>54.124999681742452</v>
      </c>
      <c r="Q598" s="28">
        <f>(Fuentes!Q2011/Fuentes!Q$47)*100000</f>
        <v>49.820672813730397</v>
      </c>
      <c r="R598" s="28">
        <f>(Fuentes!R2011/Fuentes!R$47)*100000</f>
        <v>48.031683942000242</v>
      </c>
      <c r="S598" s="28">
        <f>(Fuentes!S2011/Fuentes!S$47)*100000</f>
        <v>44.270660800446265</v>
      </c>
      <c r="T598" s="28">
        <f>(Fuentes!T2011/Fuentes!T$47)*100000</f>
        <v>47.640405289075389</v>
      </c>
      <c r="U598" s="28">
        <f>(Fuentes!U2011/Fuentes!U$47)*100000</f>
        <v>43.770297476132697</v>
      </c>
      <c r="V598" s="28">
        <f>(Fuentes!V2011/Fuentes!V$47)*100000</f>
        <v>46.579684970281725</v>
      </c>
    </row>
    <row r="599" spans="1:22" s="14" customFormat="1" ht="12.75" x14ac:dyDescent="0.2">
      <c r="A599" s="28" t="s">
        <v>3198</v>
      </c>
      <c r="B599" s="29" t="s">
        <v>3585</v>
      </c>
      <c r="C599" s="29">
        <f>(Fuentes!C2012/Fuentes!C$47)*100000</f>
        <v>0</v>
      </c>
      <c r="D599" s="30">
        <f>(Fuentes!D2012/Fuentes!D$47)*100000</f>
        <v>0</v>
      </c>
      <c r="E599" s="35">
        <f>(Fuentes!E2012/Fuentes!E$47)*100000</f>
        <v>0</v>
      </c>
      <c r="F599" s="28">
        <f>(Fuentes!F2012/Fuentes!F$47)*100000</f>
        <v>0</v>
      </c>
      <c r="G599" s="28">
        <f>(Fuentes!G2012/Fuentes!G$47)*100000</f>
        <v>0</v>
      </c>
      <c r="H599" s="36">
        <f>(Fuentes!H2012/Fuentes!H$47)*100000</f>
        <v>0</v>
      </c>
      <c r="I599" s="28">
        <f>(Fuentes!I2012/Fuentes!I$47)*100000</f>
        <v>0</v>
      </c>
      <c r="J599" s="28">
        <f>(Fuentes!J2012/Fuentes!J$47)*100000</f>
        <v>5.0225901359094465</v>
      </c>
      <c r="K599" s="28">
        <f>(Fuentes!K2012/Fuentes!K$47)*100000</f>
        <v>15.190425263788887</v>
      </c>
      <c r="L599" s="28">
        <f>(Fuentes!L2012/Fuentes!L$47)*100000</f>
        <v>6.1306632281253357</v>
      </c>
      <c r="M599" s="28">
        <f>(Fuentes!M2012/Fuentes!M$47)*100000</f>
        <v>8.778326092317112</v>
      </c>
      <c r="N599" s="28">
        <f>(Fuentes!N2012/Fuentes!N$47)*100000</f>
        <v>16.898413748514585</v>
      </c>
      <c r="O599" s="28">
        <f>(Fuentes!O2012/Fuentes!O$47)*100000</f>
        <v>8.8555473233355926</v>
      </c>
      <c r="P599" s="28">
        <f>(Fuentes!P2012/Fuentes!P$47)*100000</f>
        <v>4.7102116539971881</v>
      </c>
      <c r="Q599" s="28">
        <f>(Fuentes!Q2012/Fuentes!Q$47)*100000</f>
        <v>3.8549216979505436</v>
      </c>
      <c r="R599" s="28">
        <f>(Fuentes!R2012/Fuentes!R$47)*100000</f>
        <v>2.8765204945876923</v>
      </c>
      <c r="S599" s="28">
        <f>(Fuentes!S2012/Fuentes!S$47)*100000</f>
        <v>3.782943301654762</v>
      </c>
      <c r="T599" s="28">
        <f>(Fuentes!T2012/Fuentes!T$47)*100000</f>
        <v>0.68721840467906803</v>
      </c>
      <c r="U599" s="28">
        <f>(Fuentes!U2012/Fuentes!U$47)*100000</f>
        <v>0.5396338045002661</v>
      </c>
      <c r="V599" s="28">
        <f>(Fuentes!V2012/Fuentes!V$47)*100000</f>
        <v>0.43495461347461711</v>
      </c>
    </row>
    <row r="600" spans="1:22" s="14" customFormat="1" ht="12.75" x14ac:dyDescent="0.2">
      <c r="A600" s="28" t="s">
        <v>3198</v>
      </c>
      <c r="B600" s="29" t="s">
        <v>3586</v>
      </c>
      <c r="C600" s="29">
        <f>(Fuentes!C2013/Fuentes!C$47)*100000</f>
        <v>0</v>
      </c>
      <c r="D600" s="30">
        <f>(Fuentes!D2013/Fuentes!D$47)*100000</f>
        <v>0</v>
      </c>
      <c r="E600" s="35">
        <f>(Fuentes!E2013/Fuentes!E$47)*100000</f>
        <v>0</v>
      </c>
      <c r="F600" s="28">
        <f>(Fuentes!F2013/Fuentes!F$47)*100000</f>
        <v>0</v>
      </c>
      <c r="G600" s="28">
        <f>(Fuentes!G2013/Fuentes!G$47)*100000</f>
        <v>0</v>
      </c>
      <c r="H600" s="28">
        <f>(Fuentes!H2013/Fuentes!H$47)*100000</f>
        <v>0</v>
      </c>
      <c r="I600" s="28">
        <f>(Fuentes!I2013/Fuentes!I$47)*100000</f>
        <v>0</v>
      </c>
      <c r="J600" s="28">
        <f>(Fuentes!J2013/Fuentes!J$47)*100000</f>
        <v>23.868822847716448</v>
      </c>
      <c r="K600" s="28">
        <f>(Fuentes!K2013/Fuentes!K$47)*100000</f>
        <v>22.66075398095861</v>
      </c>
      <c r="L600" s="28">
        <f>(Fuentes!L2013/Fuentes!L$47)*100000</f>
        <v>12.03757962310741</v>
      </c>
      <c r="M600" s="28">
        <f>(Fuentes!M2013/Fuentes!M$47)*100000</f>
        <v>9.1973919107945612</v>
      </c>
      <c r="N600" s="36">
        <f>(Fuentes!N2013/Fuentes!N$47)*100000</f>
        <v>6.5982208322163904</v>
      </c>
      <c r="O600" s="28">
        <f>(Fuentes!O2013/Fuentes!O$47)*100000</f>
        <v>7.0930354774289945</v>
      </c>
      <c r="P600" s="28">
        <f>(Fuentes!P2013/Fuentes!P$47)*100000</f>
        <v>2.4399745054489932</v>
      </c>
      <c r="Q600" s="28">
        <f>(Fuentes!Q2013/Fuentes!Q$47)*100000</f>
        <v>3.2473525172952948</v>
      </c>
      <c r="R600" s="28">
        <f>(Fuentes!R2013/Fuentes!R$47)*100000</f>
        <v>2.1936055570237079</v>
      </c>
      <c r="S600" s="28">
        <f>(Fuentes!S2013/Fuentes!S$47)*100000</f>
        <v>1.3291422411219433</v>
      </c>
      <c r="T600" s="28">
        <f>(Fuentes!T2013/Fuentes!T$47)*100000</f>
        <v>1.414861421398081</v>
      </c>
      <c r="U600" s="28">
        <f>(Fuentes!U2013/Fuentes!U$47)*100000</f>
        <v>1.3390912926488086</v>
      </c>
      <c r="V600" s="28">
        <f>(Fuentes!V2013/Fuentes!V$47)*100000</f>
        <v>2.8469756518338576</v>
      </c>
    </row>
    <row r="601" spans="1:22" s="14" customFormat="1" ht="12.75" x14ac:dyDescent="0.2">
      <c r="A601" s="28" t="s">
        <v>3198</v>
      </c>
      <c r="B601" s="29" t="s">
        <v>3587</v>
      </c>
      <c r="C601" s="29">
        <f>(Fuentes!C2014/Fuentes!C$47)*100000</f>
        <v>28.793892286051697</v>
      </c>
      <c r="D601" s="30">
        <f>(Fuentes!D2014/Fuentes!D$47)*100000</f>
        <v>44.265773729047424</v>
      </c>
      <c r="E601" s="35">
        <f>(Fuentes!E2014/Fuentes!E$47)*100000</f>
        <v>36.097573830352836</v>
      </c>
      <c r="F601" s="28">
        <f>(Fuentes!F2014/Fuentes!F$47)*100000</f>
        <v>61.105054442719215</v>
      </c>
      <c r="G601" s="28">
        <f>(Fuentes!G2014/Fuentes!G$47)*100000</f>
        <v>64.212756661350923</v>
      </c>
      <c r="H601" s="36">
        <f>(Fuentes!H2014/Fuentes!H$47)*100000</f>
        <v>76.60284756673866</v>
      </c>
      <c r="I601" s="28">
        <f>(Fuentes!I2014/Fuentes!I$47)*100000</f>
        <v>70.279078290005089</v>
      </c>
      <c r="J601" s="28">
        <f>(Fuentes!J2014/Fuentes!J$47)*100000</f>
        <v>1.8661917477461702</v>
      </c>
      <c r="K601" s="28">
        <f>(Fuentes!K2014/Fuentes!K$47)*100000</f>
        <v>4.563939429030742</v>
      </c>
      <c r="L601" s="28">
        <f>(Fuentes!L2014/Fuentes!L$47)*100000</f>
        <v>19.421225116835004</v>
      </c>
      <c r="M601" s="28">
        <f>(Fuentes!M2014/Fuentes!M$47)*100000</f>
        <v>16.740576643388664</v>
      </c>
      <c r="N601" s="28">
        <f>(Fuentes!N2014/Fuentes!N$47)*100000</f>
        <v>3.5930905521970438</v>
      </c>
      <c r="O601" s="28">
        <f>(Fuentes!O2014/Fuentes!O$47)*100000</f>
        <v>6.9210831022185948</v>
      </c>
      <c r="P601" s="28">
        <f>(Fuentes!P2014/Fuentes!P$47)*100000</f>
        <v>5.0072520285735864</v>
      </c>
      <c r="Q601" s="28">
        <f>(Fuentes!Q2014/Fuentes!Q$47)*100000</f>
        <v>5.6147772557105737</v>
      </c>
      <c r="R601" s="28">
        <f>(Fuentes!R2014/Fuentes!R$47)*100000</f>
        <v>4.0767952333365134</v>
      </c>
      <c r="S601" s="28">
        <f>(Fuentes!S2014/Fuentes!S$47)*100000</f>
        <v>3.3330797738904119</v>
      </c>
      <c r="T601" s="28">
        <f>(Fuentes!T2014/Fuentes!T$47)*100000</f>
        <v>2.1425044381170943</v>
      </c>
      <c r="U601" s="28">
        <f>(Fuentes!U2014/Fuentes!U$47)*100000</f>
        <v>1.2791319810376678</v>
      </c>
      <c r="V601" s="28">
        <f>(Fuentes!V2014/Fuentes!V$47)*100000</f>
        <v>1.6211944684053912</v>
      </c>
    </row>
    <row r="602" spans="1:22" s="14" customFormat="1" ht="12.75" x14ac:dyDescent="0.2">
      <c r="A602" s="28" t="s">
        <v>3198</v>
      </c>
      <c r="B602" s="29" t="s">
        <v>3588</v>
      </c>
      <c r="C602" s="29">
        <f>(Fuentes!C2015/Fuentes!C$47)*100000</f>
        <v>0</v>
      </c>
      <c r="D602" s="30">
        <f>(Fuentes!D2015/Fuentes!D$47)*100000</f>
        <v>0</v>
      </c>
      <c r="E602" s="35">
        <f>(Fuentes!E2015/Fuentes!E$47)*100000</f>
        <v>0</v>
      </c>
      <c r="F602" s="28">
        <f>(Fuentes!F2015/Fuentes!F$47)*100000</f>
        <v>0</v>
      </c>
      <c r="G602" s="28">
        <f>(Fuentes!G2015/Fuentes!G$47)*100000</f>
        <v>0</v>
      </c>
      <c r="H602" s="28">
        <f>(Fuentes!H2015/Fuentes!H$47)*100000</f>
        <v>0</v>
      </c>
      <c r="I602" s="28">
        <f>(Fuentes!I2015/Fuentes!I$47)*100000</f>
        <v>0</v>
      </c>
      <c r="J602" s="28">
        <f>(Fuentes!J2015/Fuentes!J$47)*100000</f>
        <v>118.6298927054942</v>
      </c>
      <c r="K602" s="28">
        <f>(Fuentes!K2015/Fuentes!K$47)*100000</f>
        <v>333.9395879739061</v>
      </c>
      <c r="L602" s="28">
        <f>(Fuentes!L2015/Fuentes!L$47)*100000</f>
        <v>235.15792163356667</v>
      </c>
      <c r="M602" s="28">
        <f>(Fuentes!M2015/Fuentes!M$47)*100000</f>
        <v>275.92175732383686</v>
      </c>
      <c r="N602" s="36">
        <f>(Fuentes!N2015/Fuentes!N$47)*100000</f>
        <v>379.95299366505475</v>
      </c>
      <c r="O602" s="28">
        <f>(Fuentes!O2015/Fuentes!O$47)*100000</f>
        <v>470.69813309156825</v>
      </c>
      <c r="P602" s="28">
        <f>(Fuentes!P2015/Fuentes!P$47)*100000</f>
        <v>431.85427029485925</v>
      </c>
      <c r="Q602" s="28">
        <f>(Fuentes!Q2015/Fuentes!Q$47)*100000</f>
        <v>404.2639624111614</v>
      </c>
      <c r="R602" s="28">
        <f>(Fuentes!R2015/Fuentes!R$47)*100000</f>
        <v>387.44040791130055</v>
      </c>
      <c r="S602" s="28">
        <f>(Fuentes!S2015/Fuentes!S$47)*100000</f>
        <v>388.08908606543633</v>
      </c>
      <c r="T602" s="28">
        <f>(Fuentes!T2015/Fuentes!T$47)*100000</f>
        <v>378.23288255174702</v>
      </c>
      <c r="U602" s="28">
        <f>(Fuentes!U2015/Fuentes!U$47)*100000</f>
        <v>401.78734710625372</v>
      </c>
      <c r="V602" s="28">
        <f>(Fuentes!V2015/Fuentes!V$47)*100000</f>
        <v>418.74266879056319</v>
      </c>
    </row>
    <row r="603" spans="1:22" s="14" customFormat="1" ht="12.75" x14ac:dyDescent="0.2">
      <c r="A603" s="28" t="s">
        <v>3198</v>
      </c>
      <c r="B603" s="29" t="s">
        <v>3589</v>
      </c>
      <c r="C603" s="29">
        <f>(Fuentes!C2016/Fuentes!C$47)*100000</f>
        <v>0</v>
      </c>
      <c r="D603" s="30">
        <f>(Fuentes!D2016/Fuentes!D$47)*100000</f>
        <v>0</v>
      </c>
      <c r="E603" s="35">
        <f>(Fuentes!E2016/Fuentes!E$47)*100000</f>
        <v>0</v>
      </c>
      <c r="F603" s="28">
        <f>(Fuentes!F2016/Fuentes!F$47)*100000</f>
        <v>0</v>
      </c>
      <c r="G603" s="28">
        <f>(Fuentes!G2016/Fuentes!G$47)*100000</f>
        <v>0</v>
      </c>
      <c r="H603" s="36">
        <f>(Fuentes!H2016/Fuentes!H$47)*100000</f>
        <v>0</v>
      </c>
      <c r="I603" s="28">
        <f>(Fuentes!I2016/Fuentes!I$47)*100000</f>
        <v>0</v>
      </c>
      <c r="J603" s="28">
        <f>(Fuentes!J2016/Fuentes!J$47)*100000</f>
        <v>5.6907328604111607</v>
      </c>
      <c r="K603" s="28">
        <f>(Fuentes!K2016/Fuentes!K$47)*100000</f>
        <v>20.549080513795129</v>
      </c>
      <c r="L603" s="28">
        <f>(Fuentes!L2016/Fuentes!L$47)*100000</f>
        <v>87.5521358089578</v>
      </c>
      <c r="M603" s="28">
        <f>(Fuentes!M2016/Fuentes!M$47)*100000</f>
        <v>141.22518082690067</v>
      </c>
      <c r="N603" s="28">
        <f>(Fuentes!N2016/Fuentes!N$47)*100000</f>
        <v>132.16040340172037</v>
      </c>
      <c r="O603" s="28">
        <f>(Fuentes!O2016/Fuentes!O$47)*100000</f>
        <v>85.460330479568725</v>
      </c>
      <c r="P603" s="28">
        <f>(Fuentes!P2016/Fuentes!P$47)*100000</f>
        <v>56.013327777263854</v>
      </c>
      <c r="Q603" s="28">
        <f>(Fuentes!Q2016/Fuentes!Q$47)*100000</f>
        <v>44.059240928206485</v>
      </c>
      <c r="R603" s="28">
        <f>(Fuentes!R2016/Fuentes!R$47)*100000</f>
        <v>36.09101973065421</v>
      </c>
      <c r="S603" s="28">
        <f>(Fuentes!S2016/Fuentes!S$47)*100000</f>
        <v>39.628887127605019</v>
      </c>
      <c r="T603" s="28">
        <f>(Fuentes!T2016/Fuentes!T$47)*100000</f>
        <v>37.352341524909342</v>
      </c>
      <c r="U603" s="28">
        <f>(Fuentes!U2016/Fuentes!U$47)*100000</f>
        <v>43.110745048410145</v>
      </c>
      <c r="V603" s="28">
        <f>(Fuentes!V2016/Fuentes!V$47)*100000</f>
        <v>41.083440309102478</v>
      </c>
    </row>
    <row r="604" spans="1:22" s="14" customFormat="1" ht="12.75" x14ac:dyDescent="0.2">
      <c r="A604" s="28" t="s">
        <v>3198</v>
      </c>
      <c r="B604" s="29" t="s">
        <v>3590</v>
      </c>
      <c r="C604" s="29">
        <f>(Fuentes!C2017/Fuentes!C$47)*100000</f>
        <v>0</v>
      </c>
      <c r="D604" s="30">
        <f>(Fuentes!D2017/Fuentes!D$47)*100000</f>
        <v>0</v>
      </c>
      <c r="E604" s="35">
        <f>(Fuentes!E2017/Fuentes!E$47)*100000</f>
        <v>0</v>
      </c>
      <c r="F604" s="28">
        <f>(Fuentes!F2017/Fuentes!F$47)*100000</f>
        <v>0</v>
      </c>
      <c r="G604" s="28">
        <f>(Fuentes!G2017/Fuentes!G$47)*100000</f>
        <v>0</v>
      </c>
      <c r="H604" s="28">
        <f>(Fuentes!H2017/Fuentes!H$47)*100000</f>
        <v>0</v>
      </c>
      <c r="I604" s="28">
        <f>(Fuentes!I2017/Fuentes!I$47)*100000</f>
        <v>0</v>
      </c>
      <c r="J604" s="28">
        <f>(Fuentes!J2017/Fuentes!J$47)*100000</f>
        <v>0.11519702146581298</v>
      </c>
      <c r="K604" s="28">
        <f>(Fuentes!K2017/Fuentes!K$47)*100000</f>
        <v>9.0824665254343129E-2</v>
      </c>
      <c r="L604" s="28">
        <f>(Fuentes!L2017/Fuentes!L$47)*100000</f>
        <v>0.22374683314326041</v>
      </c>
      <c r="M604" s="28">
        <f>(Fuentes!M2017/Fuentes!M$47)*100000</f>
        <v>0.48523410560546854</v>
      </c>
      <c r="N604" s="36">
        <f>(Fuentes!N2017/Fuentes!N$47)*100000</f>
        <v>0.39197351478513209</v>
      </c>
      <c r="O604" s="28">
        <f>(Fuentes!O2017/Fuentes!O$47)*100000</f>
        <v>0.30091665661819972</v>
      </c>
      <c r="P604" s="28">
        <f>(Fuentes!P2017/Fuentes!P$47)*100000</f>
        <v>0.36069188341419905</v>
      </c>
      <c r="Q604" s="28">
        <f>(Fuentes!Q2017/Fuentes!Q$47)*100000</f>
        <v>0.37711190523429228</v>
      </c>
      <c r="R604" s="28">
        <f>(Fuentes!R2017/Fuentes!R$47)*100000</f>
        <v>0.74499811370616487</v>
      </c>
      <c r="S604" s="28">
        <f>(Fuentes!S2017/Fuentes!S$47)*100000</f>
        <v>0.55210523861988414</v>
      </c>
      <c r="T604" s="28">
        <f>(Fuentes!T2017/Fuentes!T$47)*100000</f>
        <v>0.44467073243939692</v>
      </c>
      <c r="U604" s="28">
        <f>(Fuentes!U2017/Fuentes!U$47)*100000</f>
        <v>0.17987793483342204</v>
      </c>
      <c r="V604" s="28">
        <f>(Fuentes!V2017/Fuentes!V$47)*100000</f>
        <v>0.21747730673730856</v>
      </c>
    </row>
    <row r="605" spans="1:22" s="14" customFormat="1" ht="12.75" x14ac:dyDescent="0.2">
      <c r="A605" s="28" t="s">
        <v>3198</v>
      </c>
      <c r="B605" s="29" t="s">
        <v>3591</v>
      </c>
      <c r="C605" s="29">
        <f>(Fuentes!C2018/Fuentes!C$47)*100000</f>
        <v>0</v>
      </c>
      <c r="D605" s="30">
        <f>(Fuentes!D2018/Fuentes!D$47)*100000</f>
        <v>0</v>
      </c>
      <c r="E605" s="35">
        <f>(Fuentes!E2018/Fuentes!E$47)*100000</f>
        <v>0</v>
      </c>
      <c r="F605" s="28">
        <f>(Fuentes!F2018/Fuentes!F$47)*100000</f>
        <v>0</v>
      </c>
      <c r="G605" s="28">
        <f>(Fuentes!G2018/Fuentes!G$47)*100000</f>
        <v>0</v>
      </c>
      <c r="H605" s="36">
        <f>(Fuentes!H2018/Fuentes!H$47)*100000</f>
        <v>0</v>
      </c>
      <c r="I605" s="28">
        <f>(Fuentes!I2018/Fuentes!I$47)*100000</f>
        <v>0</v>
      </c>
      <c r="J605" s="28">
        <f>(Fuentes!J2018/Fuentes!J$47)*100000</f>
        <v>0.62206391591539012</v>
      </c>
      <c r="K605" s="28">
        <f>(Fuentes!K2018/Fuentes!K$47)*100000</f>
        <v>2.2479104650449924</v>
      </c>
      <c r="L605" s="28">
        <f>(Fuentes!L2018/Fuentes!L$47)*100000</f>
        <v>6.6676556276691601</v>
      </c>
      <c r="M605" s="28">
        <f>(Fuentes!M2018/Fuentes!M$47)*100000</f>
        <v>5.0949581088574192</v>
      </c>
      <c r="N605" s="28">
        <f>(Fuentes!N2018/Fuentes!N$47)*100000</f>
        <v>4.5076954200290196</v>
      </c>
      <c r="O605" s="28">
        <f>(Fuentes!O2018/Fuentes!O$47)*100000</f>
        <v>3.1381308475897973</v>
      </c>
      <c r="P605" s="28">
        <f>(Fuentes!P2018/Fuentes!P$47)*100000</f>
        <v>3.6705703429797905</v>
      </c>
      <c r="Q605" s="28">
        <f>(Fuentes!Q2018/Fuentes!Q$47)*100000</f>
        <v>2.4093260612190899</v>
      </c>
      <c r="R605" s="28">
        <f>(Fuentes!R2018/Fuentes!R$47)*100000</f>
        <v>2.1936055570237079</v>
      </c>
      <c r="S605" s="28">
        <f>(Fuentes!S2018/Fuentes!S$47)*100000</f>
        <v>2.6787328244149933</v>
      </c>
      <c r="T605" s="28">
        <f>(Fuentes!T2018/Fuentes!T$47)*100000</f>
        <v>3.5169412474752306</v>
      </c>
      <c r="U605" s="28">
        <f>(Fuentes!U2018/Fuentes!U$47)*100000</f>
        <v>3.3777078874275919</v>
      </c>
      <c r="V605" s="28">
        <f>(Fuentes!V2018/Fuentes!V$47)*100000</f>
        <v>4.4483994559904021</v>
      </c>
    </row>
    <row r="606" spans="1:22" s="14" customFormat="1" ht="12.75" x14ac:dyDescent="0.2">
      <c r="A606" s="28" t="s">
        <v>3198</v>
      </c>
      <c r="B606" s="29" t="s">
        <v>3592</v>
      </c>
      <c r="C606" s="29">
        <f>(Fuentes!C2019/Fuentes!C$47)*100000</f>
        <v>0</v>
      </c>
      <c r="D606" s="30">
        <f>(Fuentes!D2019/Fuentes!D$47)*100000</f>
        <v>0</v>
      </c>
      <c r="E606" s="35">
        <f>(Fuentes!E2019/Fuentes!E$47)*100000</f>
        <v>0</v>
      </c>
      <c r="F606" s="28">
        <f>(Fuentes!F2019/Fuentes!F$47)*100000</f>
        <v>0</v>
      </c>
      <c r="G606" s="28">
        <f>(Fuentes!G2019/Fuentes!G$47)*100000</f>
        <v>0</v>
      </c>
      <c r="H606" s="28">
        <f>(Fuentes!H2019/Fuentes!H$47)*100000</f>
        <v>0</v>
      </c>
      <c r="I606" s="28">
        <f>(Fuentes!I2019/Fuentes!I$47)*100000</f>
        <v>0</v>
      </c>
      <c r="J606" s="28">
        <f>(Fuentes!J2019/Fuentes!J$47)*100000</f>
        <v>0</v>
      </c>
      <c r="K606" s="28">
        <f>(Fuentes!K2019/Fuentes!K$47)*100000</f>
        <v>2.2706166313585782E-2</v>
      </c>
      <c r="L606" s="28">
        <f>(Fuentes!L2019/Fuentes!L$47)*100000</f>
        <v>2.237468331432604E-2</v>
      </c>
      <c r="M606" s="28">
        <f>(Fuentes!M2019/Fuentes!M$47)*100000</f>
        <v>4.4112191418678955E-2</v>
      </c>
      <c r="N606" s="36">
        <f>(Fuentes!N2019/Fuentes!N$47)*100000</f>
        <v>4.3552612753903562E-2</v>
      </c>
      <c r="O606" s="28">
        <f>(Fuentes!O2019/Fuentes!O$47)*100000</f>
        <v>4.2988093802599964E-2</v>
      </c>
      <c r="P606" s="28">
        <f>(Fuentes!P2019/Fuentes!P$47)*100000</f>
        <v>2.1217169612599944E-2</v>
      </c>
      <c r="Q606" s="28">
        <f>(Fuentes!Q2019/Fuentes!Q$47)*100000</f>
        <v>2.095066140190513E-2</v>
      </c>
      <c r="R606" s="28">
        <f>(Fuentes!R2019/Fuentes!R$47)*100000</f>
        <v>4.138878409478694E-2</v>
      </c>
      <c r="S606" s="28">
        <f>(Fuentes!S2019/Fuentes!S$47)*100000</f>
        <v>8.1793368684427284E-2</v>
      </c>
      <c r="T606" s="28">
        <f>(Fuentes!T2019/Fuentes!T$47)*100000</f>
        <v>0</v>
      </c>
      <c r="U606" s="28">
        <f>(Fuentes!U2019/Fuentes!U$47)*100000</f>
        <v>0</v>
      </c>
      <c r="V606" s="28">
        <f>(Fuentes!V2019/Fuentes!V$47)*100000</f>
        <v>3.9541328497692464E-2</v>
      </c>
    </row>
    <row r="607" spans="1:22" s="14" customFormat="1" ht="12.75" x14ac:dyDescent="0.2">
      <c r="A607" s="28" t="s">
        <v>3198</v>
      </c>
      <c r="B607" s="29" t="s">
        <v>3593</v>
      </c>
      <c r="C607" s="29">
        <f>(Fuentes!C2020/Fuentes!C$47)*100000</f>
        <v>0</v>
      </c>
      <c r="D607" s="30">
        <f>(Fuentes!D2020/Fuentes!D$47)*100000</f>
        <v>0</v>
      </c>
      <c r="E607" s="35">
        <f>(Fuentes!E2020/Fuentes!E$47)*100000</f>
        <v>0</v>
      </c>
      <c r="F607" s="28">
        <f>(Fuentes!F2020/Fuentes!F$47)*100000</f>
        <v>0</v>
      </c>
      <c r="G607" s="28">
        <f>(Fuentes!G2020/Fuentes!G$47)*100000</f>
        <v>0</v>
      </c>
      <c r="H607" s="36">
        <f>(Fuentes!H2020/Fuentes!H$47)*100000</f>
        <v>0</v>
      </c>
      <c r="I607" s="28">
        <f>(Fuentes!I2020/Fuentes!I$47)*100000</f>
        <v>0</v>
      </c>
      <c r="J607" s="28">
        <f>(Fuentes!J2020/Fuentes!J$47)*100000</f>
        <v>0</v>
      </c>
      <c r="K607" s="28">
        <f>(Fuentes!K2020/Fuentes!K$47)*100000</f>
        <v>9.0824665254343129E-2</v>
      </c>
      <c r="L607" s="28">
        <f>(Fuentes!L2020/Fuentes!L$47)*100000</f>
        <v>2.237468331432604E-2</v>
      </c>
      <c r="M607" s="28">
        <f>(Fuentes!M2020/Fuentes!M$47)*100000</f>
        <v>2.2056095709339477E-2</v>
      </c>
      <c r="N607" s="28">
        <f>(Fuentes!N2020/Fuentes!N$47)*100000</f>
        <v>8.7105225507807124E-2</v>
      </c>
      <c r="O607" s="28">
        <f>(Fuentes!O2020/Fuentes!O$47)*100000</f>
        <v>6.4482140703899946E-2</v>
      </c>
      <c r="P607" s="28">
        <f>(Fuentes!P2020/Fuentes!P$47)*100000</f>
        <v>2.1217169612599944E-2</v>
      </c>
      <c r="Q607" s="28">
        <f>(Fuentes!Q2020/Fuentes!Q$47)*100000</f>
        <v>0</v>
      </c>
      <c r="R607" s="28">
        <f>(Fuentes!R2020/Fuentes!R$47)*100000</f>
        <v>2.069439204739347E-2</v>
      </c>
      <c r="S607" s="28">
        <f>(Fuentes!S2020/Fuentes!S$47)*100000</f>
        <v>4.0896684342213642E-2</v>
      </c>
      <c r="T607" s="28">
        <f>(Fuentes!T2020/Fuentes!T$47)*100000</f>
        <v>2.0212306019972589E-2</v>
      </c>
      <c r="U607" s="28">
        <f>(Fuentes!U2020/Fuentes!U$47)*100000</f>
        <v>0</v>
      </c>
      <c r="V607" s="28">
        <f>(Fuentes!V2020/Fuentes!V$47)*100000</f>
        <v>0</v>
      </c>
    </row>
    <row r="608" spans="1:22" s="14" customFormat="1" ht="12.75" x14ac:dyDescent="0.2">
      <c r="A608" s="28" t="s">
        <v>3198</v>
      </c>
      <c r="B608" s="29" t="s">
        <v>3594</v>
      </c>
      <c r="C608" s="29">
        <f>(Fuentes!C2021/Fuentes!C$47)*100000</f>
        <v>0</v>
      </c>
      <c r="D608" s="30">
        <f>(Fuentes!D2021/Fuentes!D$47)*100000</f>
        <v>0</v>
      </c>
      <c r="E608" s="35">
        <f>(Fuentes!E2021/Fuentes!E$47)*100000</f>
        <v>0</v>
      </c>
      <c r="F608" s="28">
        <f>(Fuentes!F2021/Fuentes!F$47)*100000</f>
        <v>0</v>
      </c>
      <c r="G608" s="28">
        <f>(Fuentes!G2021/Fuentes!G$47)*100000</f>
        <v>0</v>
      </c>
      <c r="H608" s="28">
        <f>(Fuentes!H2021/Fuentes!H$47)*100000</f>
        <v>0</v>
      </c>
      <c r="I608" s="28">
        <f>(Fuentes!I2021/Fuentes!I$47)*100000</f>
        <v>0</v>
      </c>
      <c r="J608" s="28">
        <f>(Fuentes!J2021/Fuentes!J$47)*100000</f>
        <v>4.6078808586325189E-2</v>
      </c>
      <c r="K608" s="28">
        <f>(Fuentes!K2021/Fuentes!K$47)*100000</f>
        <v>9.0824665254343129E-2</v>
      </c>
      <c r="L608" s="28">
        <f>(Fuentes!L2021/Fuentes!L$47)*100000</f>
        <v>0.15662278320028228</v>
      </c>
      <c r="M608" s="28">
        <f>(Fuentes!M2021/Fuentes!M$47)*100000</f>
        <v>0.39700972276811058</v>
      </c>
      <c r="N608" s="36">
        <f>(Fuentes!N2021/Fuentes!N$47)*100000</f>
        <v>0.23953937014646962</v>
      </c>
      <c r="O608" s="28">
        <f>(Fuentes!O2021/Fuentes!O$47)*100000</f>
        <v>0.19344642211169985</v>
      </c>
      <c r="P608" s="28">
        <f>(Fuentes!P2021/Fuentes!P$47)*100000</f>
        <v>0.1909545265133995</v>
      </c>
      <c r="Q608" s="28">
        <f>(Fuentes!Q2021/Fuentes!Q$47)*100000</f>
        <v>0.33521058243048207</v>
      </c>
      <c r="R608" s="28">
        <f>(Fuentes!R2021/Fuentes!R$47)*100000</f>
        <v>0.28972148866350855</v>
      </c>
      <c r="S608" s="28">
        <f>(Fuentes!S2021/Fuentes!S$47)*100000</f>
        <v>0.12269005302664091</v>
      </c>
      <c r="T608" s="28">
        <f>(Fuentes!T2021/Fuentes!T$47)*100000</f>
        <v>8.0849224079890356E-2</v>
      </c>
      <c r="U608" s="28">
        <f>(Fuentes!U2021/Fuentes!U$47)*100000</f>
        <v>0.11991862322228136</v>
      </c>
      <c r="V608" s="28">
        <f>(Fuentes!V2021/Fuentes!V$47)*100000</f>
        <v>5.9311992746538693E-2</v>
      </c>
    </row>
    <row r="609" spans="1:22" s="14" customFormat="1" ht="12.75" x14ac:dyDescent="0.2">
      <c r="A609" s="28" t="s">
        <v>3198</v>
      </c>
      <c r="B609" s="29" t="s">
        <v>3595</v>
      </c>
      <c r="C609" s="29">
        <f>(Fuentes!C2022/Fuentes!C$47)*100000</f>
        <v>0</v>
      </c>
      <c r="D609" s="30">
        <f>(Fuentes!D2022/Fuentes!D$47)*100000</f>
        <v>0</v>
      </c>
      <c r="E609" s="35">
        <f>(Fuentes!E2022/Fuentes!E$47)*100000</f>
        <v>0</v>
      </c>
      <c r="F609" s="28">
        <f>(Fuentes!F2022/Fuentes!F$47)*100000</f>
        <v>0</v>
      </c>
      <c r="G609" s="28">
        <f>(Fuentes!G2022/Fuentes!G$47)*100000</f>
        <v>0</v>
      </c>
      <c r="H609" s="36">
        <f>(Fuentes!H2022/Fuentes!H$47)*100000</f>
        <v>0</v>
      </c>
      <c r="I609" s="28">
        <f>(Fuentes!I2022/Fuentes!I$47)*100000</f>
        <v>0</v>
      </c>
      <c r="J609" s="28">
        <f>(Fuentes!J2022/Fuentes!J$47)*100000</f>
        <v>0.13823642575897557</v>
      </c>
      <c r="K609" s="28">
        <f>(Fuentes!K2022/Fuentes!K$47)*100000</f>
        <v>0.408710993644544</v>
      </c>
      <c r="L609" s="28">
        <f>(Fuentes!L2022/Fuentes!L$47)*100000</f>
        <v>0.33562024971489063</v>
      </c>
      <c r="M609" s="28">
        <f>(Fuentes!M2022/Fuentes!M$47)*100000</f>
        <v>0.22056095709339477</v>
      </c>
      <c r="N609" s="28">
        <f>(Fuentes!N2022/Fuentes!N$47)*100000</f>
        <v>0.26131567652342141</v>
      </c>
      <c r="O609" s="28">
        <f>(Fuentes!O2022/Fuentes!O$47)*100000</f>
        <v>8.5976187605199927E-2</v>
      </c>
      <c r="P609" s="28">
        <f>(Fuentes!P2022/Fuentes!P$47)*100000</f>
        <v>0.1485201872881996</v>
      </c>
      <c r="Q609" s="28">
        <f>(Fuentes!Q2022/Fuentes!Q$47)*100000</f>
        <v>0.12570396841143078</v>
      </c>
      <c r="R609" s="28">
        <f>(Fuentes!R2022/Fuentes!R$47)*100000</f>
        <v>0.18624952842654122</v>
      </c>
      <c r="S609" s="28">
        <f>(Fuentes!S2022/Fuentes!S$47)*100000</f>
        <v>0.22493176388217503</v>
      </c>
      <c r="T609" s="28">
        <f>(Fuentes!T2022/Fuentes!T$47)*100000</f>
        <v>0.28297228427961624</v>
      </c>
      <c r="U609" s="28">
        <f>(Fuentes!U2022/Fuentes!U$47)*100000</f>
        <v>0.35975586966684409</v>
      </c>
      <c r="V609" s="28">
        <f>(Fuentes!V2022/Fuentes!V$47)*100000</f>
        <v>0.1779359782396161</v>
      </c>
    </row>
    <row r="610" spans="1:22" s="14" customFormat="1" ht="12.75" x14ac:dyDescent="0.2">
      <c r="A610" s="28" t="s">
        <v>3198</v>
      </c>
      <c r="B610" s="29" t="s">
        <v>3596</v>
      </c>
      <c r="C610" s="29">
        <f>(Fuentes!C2023/Fuentes!C$47)*100000</f>
        <v>0</v>
      </c>
      <c r="D610" s="30">
        <f>(Fuentes!D2023/Fuentes!D$47)*100000</f>
        <v>0</v>
      </c>
      <c r="E610" s="35">
        <f>(Fuentes!E2023/Fuentes!E$47)*100000</f>
        <v>0</v>
      </c>
      <c r="F610" s="28">
        <f>(Fuentes!F2023/Fuentes!F$47)*100000</f>
        <v>0</v>
      </c>
      <c r="G610" s="28">
        <f>(Fuentes!G2023/Fuentes!G$47)*100000</f>
        <v>0</v>
      </c>
      <c r="H610" s="28">
        <f>(Fuentes!H2023/Fuentes!H$47)*100000</f>
        <v>0</v>
      </c>
      <c r="I610" s="28">
        <f>(Fuentes!I2023/Fuentes!I$47)*100000</f>
        <v>0</v>
      </c>
      <c r="J610" s="28">
        <f>(Fuentes!J2023/Fuentes!J$47)*100000</f>
        <v>0</v>
      </c>
      <c r="K610" s="28">
        <f>(Fuentes!K2023/Fuentes!K$47)*100000</f>
        <v>0</v>
      </c>
      <c r="L610" s="28">
        <f>(Fuentes!L2023/Fuentes!L$47)*100000</f>
        <v>0</v>
      </c>
      <c r="M610" s="28">
        <f>(Fuentes!M2023/Fuentes!M$47)*100000</f>
        <v>0.30878533993075269</v>
      </c>
      <c r="N610" s="36">
        <f>(Fuentes!N2023/Fuentes!N$47)*100000</f>
        <v>1.0234863997167338</v>
      </c>
      <c r="O610" s="28">
        <f>(Fuentes!O2023/Fuentes!O$47)*100000</f>
        <v>2.3213570653403979</v>
      </c>
      <c r="P610" s="28">
        <f>(Fuentes!P2023/Fuentes!P$47)*100000</f>
        <v>1.3578988552063964</v>
      </c>
      <c r="Q610" s="28">
        <f>(Fuentes!Q2023/Fuentes!Q$47)*100000</f>
        <v>0.98468108588954095</v>
      </c>
      <c r="R610" s="28">
        <f>(Fuentes!R2023/Fuentes!R$47)*100000</f>
        <v>1.759023324028445</v>
      </c>
      <c r="S610" s="28">
        <f>(Fuentes!S2023/Fuentes!S$47)*100000</f>
        <v>1.697212400201866</v>
      </c>
      <c r="T610" s="28">
        <f>(Fuentes!T2023/Fuentes!T$47)*100000</f>
        <v>2.3244151922968475</v>
      </c>
      <c r="U610" s="28">
        <f>(Fuentes!U2023/Fuentes!U$47)*100000</f>
        <v>2.9979655805570338</v>
      </c>
      <c r="V610" s="28">
        <f>(Fuentes!V2023/Fuentes!V$47)*100000</f>
        <v>3.0051409658246273</v>
      </c>
    </row>
    <row r="611" spans="1:22" s="14" customFormat="1" ht="12.75" x14ac:dyDescent="0.2">
      <c r="A611" s="28" t="s">
        <v>3198</v>
      </c>
      <c r="B611" s="29" t="s">
        <v>3597</v>
      </c>
      <c r="C611" s="29">
        <f>(Fuentes!C2024/Fuentes!C$47)*100000</f>
        <v>0</v>
      </c>
      <c r="D611" s="30">
        <f>(Fuentes!D2024/Fuentes!D$47)*100000</f>
        <v>0</v>
      </c>
      <c r="E611" s="35">
        <f>(Fuentes!E2024/Fuentes!E$47)*100000</f>
        <v>0</v>
      </c>
      <c r="F611" s="28">
        <f>(Fuentes!F2024/Fuentes!F$47)*100000</f>
        <v>0</v>
      </c>
      <c r="G611" s="28">
        <f>(Fuentes!G2024/Fuentes!G$47)*100000</f>
        <v>0</v>
      </c>
      <c r="H611" s="36">
        <f>(Fuentes!H2024/Fuentes!H$47)*100000</f>
        <v>0</v>
      </c>
      <c r="I611" s="28">
        <f>(Fuentes!I2024/Fuentes!I$47)*100000</f>
        <v>0</v>
      </c>
      <c r="J611" s="28">
        <f>(Fuentes!J2024/Fuentes!J$47)*100000</f>
        <v>0</v>
      </c>
      <c r="K611" s="28">
        <f>(Fuentes!K2024/Fuentes!K$47)*100000</f>
        <v>2.2706166313585782E-2</v>
      </c>
      <c r="L611" s="28">
        <f>(Fuentes!L2024/Fuentes!L$47)*100000</f>
        <v>2.237468331432604E-2</v>
      </c>
      <c r="M611" s="28">
        <f>(Fuentes!M2024/Fuentes!M$47)*100000</f>
        <v>6.6168287128018421E-2</v>
      </c>
      <c r="N611" s="28">
        <f>(Fuentes!N2024/Fuentes!N$47)*100000</f>
        <v>4.3552612753903562E-2</v>
      </c>
      <c r="O611" s="28">
        <f>(Fuentes!O2024/Fuentes!O$47)*100000</f>
        <v>10.25266037192009</v>
      </c>
      <c r="P611" s="28">
        <f>(Fuentes!P2024/Fuentes!P$47)*100000</f>
        <v>4.2434339225199888E-2</v>
      </c>
      <c r="Q611" s="28">
        <f>(Fuentes!Q2024/Fuentes!Q$47)*100000</f>
        <v>0</v>
      </c>
      <c r="R611" s="28">
        <f>(Fuentes!R2024/Fuentes!R$47)*100000</f>
        <v>2.069439204739347E-2</v>
      </c>
      <c r="S611" s="28">
        <f>(Fuentes!S2024/Fuentes!S$47)*100000</f>
        <v>2.0448342171106821E-2</v>
      </c>
      <c r="T611" s="28">
        <f>(Fuentes!T2024/Fuentes!T$47)*100000</f>
        <v>0</v>
      </c>
      <c r="U611" s="28">
        <f>(Fuentes!U2024/Fuentes!U$47)*100000</f>
        <v>0</v>
      </c>
      <c r="V611" s="28">
        <f>(Fuentes!V2024/Fuentes!V$47)*100000</f>
        <v>1.9770664248846232E-2</v>
      </c>
    </row>
    <row r="612" spans="1:22" s="14" customFormat="1" ht="12.75" x14ac:dyDescent="0.2">
      <c r="A612" s="28" t="s">
        <v>3198</v>
      </c>
      <c r="B612" s="29" t="s">
        <v>3598</v>
      </c>
      <c r="C612" s="29">
        <f>(Fuentes!C2025/Fuentes!C$47)*100000</f>
        <v>0</v>
      </c>
      <c r="D612" s="30">
        <f>(Fuentes!D2025/Fuentes!D$47)*100000</f>
        <v>0</v>
      </c>
      <c r="E612" s="35">
        <f>(Fuentes!E2025/Fuentes!E$47)*100000</f>
        <v>0</v>
      </c>
      <c r="F612" s="28">
        <f>(Fuentes!F2025/Fuentes!F$47)*100000</f>
        <v>0</v>
      </c>
      <c r="G612" s="28">
        <f>(Fuentes!G2025/Fuentes!G$47)*100000</f>
        <v>0</v>
      </c>
      <c r="H612" s="28">
        <f>(Fuentes!H2025/Fuentes!H$47)*100000</f>
        <v>0</v>
      </c>
      <c r="I612" s="28">
        <f>(Fuentes!I2025/Fuentes!I$47)*100000</f>
        <v>0</v>
      </c>
      <c r="J612" s="28">
        <f>(Fuentes!J2025/Fuentes!J$47)*100000</f>
        <v>0.20735463863846335</v>
      </c>
      <c r="K612" s="28">
        <f>(Fuentes!K2025/Fuentes!K$47)*100000</f>
        <v>0.15894316419510046</v>
      </c>
      <c r="L612" s="28">
        <f>(Fuentes!L2025/Fuentes!L$47)*100000</f>
        <v>0.1118734165716302</v>
      </c>
      <c r="M612" s="28">
        <f>(Fuentes!M2025/Fuentes!M$47)*100000</f>
        <v>0.33084143564009216</v>
      </c>
      <c r="N612" s="36">
        <f>(Fuentes!N2025/Fuentes!N$47)*100000</f>
        <v>0.19598675739256605</v>
      </c>
      <c r="O612" s="28">
        <f>(Fuentes!O2025/Fuentes!O$47)*100000</f>
        <v>0.40838689112469967</v>
      </c>
      <c r="P612" s="28">
        <f>(Fuentes!P2025/Fuentes!P$47)*100000</f>
        <v>0.31825754418899915</v>
      </c>
      <c r="Q612" s="28">
        <f>(Fuentes!Q2025/Fuentes!Q$47)*100000</f>
        <v>0.27235859822476666</v>
      </c>
      <c r="R612" s="28">
        <f>(Fuentes!R2025/Fuentes!R$47)*100000</f>
        <v>0.37249905685308243</v>
      </c>
      <c r="S612" s="28">
        <f>(Fuentes!S2025/Fuentes!S$47)*100000</f>
        <v>0.26582844822438867</v>
      </c>
      <c r="T612" s="28">
        <f>(Fuentes!T2025/Fuentes!T$47)*100000</f>
        <v>0.58615687457920507</v>
      </c>
      <c r="U612" s="28">
        <f>(Fuentes!U2025/Fuentes!U$47)*100000</f>
        <v>0.41971518127798474</v>
      </c>
      <c r="V612" s="28">
        <f>(Fuentes!V2025/Fuentes!V$47)*100000</f>
        <v>0.49426660622115581</v>
      </c>
    </row>
    <row r="613" spans="1:22" s="14" customFormat="1" ht="12.75" x14ac:dyDescent="0.2">
      <c r="A613" s="28" t="s">
        <v>3198</v>
      </c>
      <c r="B613" s="29" t="s">
        <v>3599</v>
      </c>
      <c r="C613" s="29">
        <f>(Fuentes!C2026/Fuentes!C$47)*100000</f>
        <v>0</v>
      </c>
      <c r="D613" s="30">
        <f>(Fuentes!D2026/Fuentes!D$47)*100000</f>
        <v>0</v>
      </c>
      <c r="E613" s="35">
        <f>(Fuentes!E2026/Fuentes!E$47)*100000</f>
        <v>0</v>
      </c>
      <c r="F613" s="28">
        <f>(Fuentes!F2026/Fuentes!F$47)*100000</f>
        <v>0</v>
      </c>
      <c r="G613" s="28">
        <f>(Fuentes!G2026/Fuentes!G$47)*100000</f>
        <v>0</v>
      </c>
      <c r="H613" s="36">
        <f>(Fuentes!H2026/Fuentes!H$47)*100000</f>
        <v>0</v>
      </c>
      <c r="I613" s="28">
        <f>(Fuentes!I2026/Fuentes!I$47)*100000</f>
        <v>0</v>
      </c>
      <c r="J613" s="28">
        <f>(Fuentes!J2026/Fuentes!J$47)*100000</f>
        <v>0</v>
      </c>
      <c r="K613" s="28">
        <f>(Fuentes!K2026/Fuentes!K$47)*100000</f>
        <v>0.97636515148418856</v>
      </c>
      <c r="L613" s="28">
        <f>(Fuentes!L2026/Fuentes!L$47)*100000</f>
        <v>1.8570987150890612</v>
      </c>
      <c r="M613" s="28">
        <f>(Fuentes!M2026/Fuentes!M$47)*100000</f>
        <v>0.37495362705877111</v>
      </c>
      <c r="N613" s="28">
        <f>(Fuentes!N2026/Fuentes!N$47)*100000</f>
        <v>2.1776306376951782</v>
      </c>
      <c r="O613" s="28">
        <f>(Fuentes!O2026/Fuentes!O$47)*100000</f>
        <v>3.0951427537871976</v>
      </c>
      <c r="P613" s="28">
        <f>(Fuentes!P2026/Fuentes!P$47)*100000</f>
        <v>0.16973735690079955</v>
      </c>
      <c r="Q613" s="28">
        <f>(Fuentes!Q2026/Fuentes!Q$47)*100000</f>
        <v>2.5769313524343307</v>
      </c>
      <c r="R613" s="28">
        <f>(Fuentes!R2026/Fuentes!R$47)*100000</f>
        <v>0.18624952842654122</v>
      </c>
      <c r="S613" s="28">
        <f>(Fuentes!S2026/Fuentes!S$47)*100000</f>
        <v>0.22493176388217503</v>
      </c>
      <c r="T613" s="28">
        <f>(Fuentes!T2026/Fuentes!T$47)*100000</f>
        <v>0.1819107541797533</v>
      </c>
      <c r="U613" s="28">
        <f>(Fuentes!U2026/Fuentes!U$47)*100000</f>
        <v>1.9786572831676423</v>
      </c>
      <c r="V613" s="28">
        <f>(Fuentes!V2026/Fuentes!V$47)*100000</f>
        <v>1.9770664248846232E-2</v>
      </c>
    </row>
    <row r="614" spans="1:22" s="14" customFormat="1" ht="12.75" x14ac:dyDescent="0.2">
      <c r="A614" s="28" t="s">
        <v>3198</v>
      </c>
      <c r="B614" s="29" t="s">
        <v>3600</v>
      </c>
      <c r="C614" s="29">
        <f>(Fuentes!C2027/Fuentes!C$47)*100000</f>
        <v>0</v>
      </c>
      <c r="D614" s="30">
        <f>(Fuentes!D2027/Fuentes!D$47)*100000</f>
        <v>0</v>
      </c>
      <c r="E614" s="35">
        <f>(Fuentes!E2027/Fuentes!E$47)*100000</f>
        <v>0</v>
      </c>
      <c r="F614" s="28">
        <f>(Fuentes!F2027/Fuentes!F$47)*100000</f>
        <v>0</v>
      </c>
      <c r="G614" s="28">
        <f>(Fuentes!G2027/Fuentes!G$47)*100000</f>
        <v>0</v>
      </c>
      <c r="H614" s="28">
        <f>(Fuentes!H2027/Fuentes!H$47)*100000</f>
        <v>0</v>
      </c>
      <c r="I614" s="28">
        <f>(Fuentes!I2027/Fuentes!I$47)*100000</f>
        <v>0</v>
      </c>
      <c r="J614" s="28">
        <f>(Fuentes!J2027/Fuentes!J$47)*100000</f>
        <v>12.464317722600965</v>
      </c>
      <c r="K614" s="28">
        <f>(Fuentes!K2027/Fuentes!K$47)*100000</f>
        <v>59.649098905789849</v>
      </c>
      <c r="L614" s="28">
        <f>(Fuentes!L2027/Fuentes!L$47)*100000</f>
        <v>85.135670011010575</v>
      </c>
      <c r="M614" s="28">
        <f>(Fuentes!M2027/Fuentes!M$47)*100000</f>
        <v>91.510741098049493</v>
      </c>
      <c r="N614" s="36">
        <f>(Fuentes!N2027/Fuentes!N$47)*100000</f>
        <v>114.71758199378199</v>
      </c>
      <c r="O614" s="28">
        <f>(Fuentes!O2027/Fuentes!O$47)*100000</f>
        <v>149.08270930741668</v>
      </c>
      <c r="P614" s="28">
        <f>(Fuentes!P2027/Fuentes!P$47)*100000</f>
        <v>143.70388978613943</v>
      </c>
      <c r="Q614" s="28">
        <f>(Fuentes!Q2027/Fuentes!Q$47)*100000</f>
        <v>125.78777105703838</v>
      </c>
      <c r="R614" s="28">
        <f>(Fuentes!R2027/Fuentes!R$47)*100000</f>
        <v>133.14771843292957</v>
      </c>
      <c r="S614" s="28">
        <f>(Fuentes!S2027/Fuentes!S$47)*100000</f>
        <v>133.34363929778758</v>
      </c>
      <c r="T614" s="28">
        <f>(Fuentes!T2027/Fuentes!T$47)*100000</f>
        <v>129.15663546762482</v>
      </c>
      <c r="U614" s="28">
        <f>(Fuentes!U2027/Fuentes!U$47)*100000</f>
        <v>112.22384489885162</v>
      </c>
      <c r="V614" s="28">
        <f>(Fuentes!V2027/Fuentes!V$47)*100000</f>
        <v>122.32109970761165</v>
      </c>
    </row>
    <row r="615" spans="1:22" s="14" customFormat="1" ht="12.75" x14ac:dyDescent="0.2">
      <c r="A615" s="28" t="s">
        <v>3198</v>
      </c>
      <c r="B615" s="29" t="s">
        <v>3601</v>
      </c>
      <c r="C615" s="29">
        <f>(Fuentes!C2028/Fuentes!C$47)*100000</f>
        <v>0</v>
      </c>
      <c r="D615" s="30">
        <f>(Fuentes!D2028/Fuentes!D$47)*100000</f>
        <v>0</v>
      </c>
      <c r="E615" s="35">
        <f>(Fuentes!E2028/Fuentes!E$47)*100000</f>
        <v>0</v>
      </c>
      <c r="F615" s="28">
        <f>(Fuentes!F2028/Fuentes!F$47)*100000</f>
        <v>0</v>
      </c>
      <c r="G615" s="28">
        <f>(Fuentes!G2028/Fuentes!G$47)*100000</f>
        <v>0</v>
      </c>
      <c r="H615" s="36">
        <f>(Fuentes!H2028/Fuentes!H$47)*100000</f>
        <v>0</v>
      </c>
      <c r="I615" s="28">
        <f>(Fuentes!I2028/Fuentes!I$47)*100000</f>
        <v>0</v>
      </c>
      <c r="J615" s="28">
        <f>(Fuentes!J2028/Fuentes!J$47)*100000</f>
        <v>0</v>
      </c>
      <c r="K615" s="28">
        <f>(Fuentes!K2028/Fuentes!K$47)*100000</f>
        <v>0.27247399576302939</v>
      </c>
      <c r="L615" s="28">
        <f>(Fuentes!L2028/Fuentes!L$47)*100000</f>
        <v>0.22374683314326041</v>
      </c>
      <c r="M615" s="28">
        <f>(Fuentes!M2028/Fuentes!M$47)*100000</f>
        <v>0.13233657425603684</v>
      </c>
      <c r="N615" s="28">
        <f>(Fuentes!N2028/Fuentes!N$47)*100000</f>
        <v>0.28309198290037318</v>
      </c>
      <c r="O615" s="28">
        <f>(Fuentes!O2028/Fuentes!O$47)*100000</f>
        <v>0.23643451591429979</v>
      </c>
      <c r="P615" s="28">
        <f>(Fuentes!P2028/Fuentes!P$47)*100000</f>
        <v>6.3651508837799825E-2</v>
      </c>
      <c r="Q615" s="28">
        <f>(Fuentes!Q2028/Fuentes!Q$47)*100000</f>
        <v>0.18855595261714614</v>
      </c>
      <c r="R615" s="28">
        <f>(Fuentes!R2028/Fuentes!R$47)*100000</f>
        <v>0.16555513637914776</v>
      </c>
      <c r="S615" s="28">
        <f>(Fuentes!S2028/Fuentes!S$47)*100000</f>
        <v>8.1793368684427284E-2</v>
      </c>
      <c r="T615" s="28">
        <f>(Fuentes!T2028/Fuentes!T$47)*100000</f>
        <v>0.12127383611983551</v>
      </c>
      <c r="U615" s="28">
        <f>(Fuentes!U2028/Fuentes!U$47)*100000</f>
        <v>0.17987793483342204</v>
      </c>
      <c r="V615" s="28">
        <f>(Fuentes!V2028/Fuentes!V$47)*100000</f>
        <v>0.11862398549307739</v>
      </c>
    </row>
    <row r="616" spans="1:22" s="14" customFormat="1" ht="12.75" x14ac:dyDescent="0.2">
      <c r="A616" s="28" t="s">
        <v>3198</v>
      </c>
      <c r="B616" s="29" t="s">
        <v>3602</v>
      </c>
      <c r="C616" s="29">
        <f>(Fuentes!C2029/Fuentes!C$47)*100000</f>
        <v>0</v>
      </c>
      <c r="D616" s="30">
        <f>(Fuentes!D2029/Fuentes!D$47)*100000</f>
        <v>0</v>
      </c>
      <c r="E616" s="35">
        <f>(Fuentes!E2029/Fuentes!E$47)*100000</f>
        <v>0</v>
      </c>
      <c r="F616" s="28">
        <f>(Fuentes!F2029/Fuentes!F$47)*100000</f>
        <v>0</v>
      </c>
      <c r="G616" s="28">
        <f>(Fuentes!G2029/Fuentes!G$47)*100000</f>
        <v>0</v>
      </c>
      <c r="H616" s="28">
        <f>(Fuentes!H2029/Fuentes!H$47)*100000</f>
        <v>0</v>
      </c>
      <c r="I616" s="28">
        <f>(Fuentes!I2029/Fuentes!I$47)*100000</f>
        <v>0</v>
      </c>
      <c r="J616" s="28">
        <f>(Fuentes!J2029/Fuentes!J$47)*100000</f>
        <v>48.244512589882476</v>
      </c>
      <c r="K616" s="28">
        <f>(Fuentes!K2029/Fuentes!K$47)*100000</f>
        <v>109.78431412618724</v>
      </c>
      <c r="L616" s="28">
        <f>(Fuentes!L2029/Fuentes!L$47)*100000</f>
        <v>12.059954306421735</v>
      </c>
      <c r="M616" s="28">
        <f>(Fuentes!M2029/Fuentes!M$47)*100000</f>
        <v>8.6901017094797535</v>
      </c>
      <c r="N616" s="36">
        <f>(Fuentes!N2029/Fuentes!N$47)*100000</f>
        <v>80.72476773936026</v>
      </c>
      <c r="O616" s="28">
        <f>(Fuentes!O2029/Fuentes!O$47)*100000</f>
        <v>123.07491255684369</v>
      </c>
      <c r="P616" s="28">
        <f>(Fuentes!P2029/Fuentes!P$47)*100000</f>
        <v>129.02160841422025</v>
      </c>
      <c r="Q616" s="28">
        <f>(Fuentes!Q2029/Fuentes!Q$47)*100000</f>
        <v>144.03579713809776</v>
      </c>
      <c r="R616" s="28">
        <f>(Fuentes!R2029/Fuentes!R$47)*100000</f>
        <v>139.95617341652203</v>
      </c>
      <c r="S616" s="28">
        <f>(Fuentes!S2029/Fuentes!S$47)*100000</f>
        <v>143.34287861945879</v>
      </c>
      <c r="T616" s="28">
        <f>(Fuentes!T2029/Fuentes!T$47)*100000</f>
        <v>148.66151077689838</v>
      </c>
      <c r="U616" s="28">
        <f>(Fuentes!U2029/Fuentes!U$47)*100000</f>
        <v>167.98600469721248</v>
      </c>
      <c r="V616" s="28">
        <f>(Fuentes!V2029/Fuentes!V$47)*100000</f>
        <v>158.52118594724911</v>
      </c>
    </row>
    <row r="617" spans="1:22" s="14" customFormat="1" ht="12.75" x14ac:dyDescent="0.2">
      <c r="A617" s="28" t="s">
        <v>3198</v>
      </c>
      <c r="B617" s="29" t="s">
        <v>3603</v>
      </c>
      <c r="C617" s="29">
        <f>(Fuentes!C2030/Fuentes!C$47)*100000</f>
        <v>0</v>
      </c>
      <c r="D617" s="30">
        <f>(Fuentes!D2030/Fuentes!D$47)*100000</f>
        <v>0</v>
      </c>
      <c r="E617" s="35">
        <f>(Fuentes!E2030/Fuentes!E$47)*100000</f>
        <v>0</v>
      </c>
      <c r="F617" s="28">
        <f>(Fuentes!F2030/Fuentes!F$47)*100000</f>
        <v>0</v>
      </c>
      <c r="G617" s="28">
        <f>(Fuentes!G2030/Fuentes!G$47)*100000</f>
        <v>0</v>
      </c>
      <c r="H617" s="36">
        <f>(Fuentes!H2030/Fuentes!H$47)*100000</f>
        <v>0</v>
      </c>
      <c r="I617" s="28">
        <f>(Fuentes!I2030/Fuentes!I$47)*100000</f>
        <v>0</v>
      </c>
      <c r="J617" s="28">
        <f>(Fuentes!J2030/Fuentes!J$47)*100000</f>
        <v>0</v>
      </c>
      <c r="K617" s="28">
        <f>(Fuentes!K2030/Fuentes!K$47)*100000</f>
        <v>9.0824665254343129E-2</v>
      </c>
      <c r="L617" s="28">
        <f>(Fuentes!L2030/Fuentes!L$47)*100000</f>
        <v>8.9498733257304161E-2</v>
      </c>
      <c r="M617" s="28">
        <f>(Fuentes!M2030/Fuentes!M$47)*100000</f>
        <v>0.13233657425603684</v>
      </c>
      <c r="N617" s="28">
        <f>(Fuentes!N2030/Fuentes!N$47)*100000</f>
        <v>0.10888153188475892</v>
      </c>
      <c r="O617" s="28">
        <f>(Fuentes!O2030/Fuentes!O$47)*100000</f>
        <v>0.12896428140779989</v>
      </c>
      <c r="P617" s="28">
        <f>(Fuentes!P2030/Fuentes!P$47)*100000</f>
        <v>6.3651508837799825E-2</v>
      </c>
      <c r="Q617" s="28">
        <f>(Fuentes!Q2030/Fuentes!Q$47)*100000</f>
        <v>0</v>
      </c>
      <c r="R617" s="28">
        <f>(Fuentes!R2030/Fuentes!R$47)*100000</f>
        <v>2.069439204739347E-2</v>
      </c>
      <c r="S617" s="28">
        <f>(Fuentes!S2030/Fuentes!S$47)*100000</f>
        <v>0</v>
      </c>
      <c r="T617" s="28">
        <f>(Fuentes!T2030/Fuentes!T$47)*100000</f>
        <v>0</v>
      </c>
      <c r="U617" s="28">
        <f>(Fuentes!U2030/Fuentes!U$47)*100000</f>
        <v>1.9986437203713559E-2</v>
      </c>
      <c r="V617" s="28">
        <f>(Fuentes!V2030/Fuentes!V$47)*100000</f>
        <v>1.9770664248846232E-2</v>
      </c>
    </row>
    <row r="618" spans="1:22" s="14" customFormat="1" ht="12.75" x14ac:dyDescent="0.2">
      <c r="A618" s="28" t="s">
        <v>3198</v>
      </c>
      <c r="B618" s="29" t="s">
        <v>3604</v>
      </c>
      <c r="C618" s="29">
        <f>(Fuentes!C2031/Fuentes!C$47)*100000</f>
        <v>0</v>
      </c>
      <c r="D618" s="30">
        <f>(Fuentes!D2031/Fuentes!D$47)*100000</f>
        <v>0</v>
      </c>
      <c r="E618" s="35">
        <f>(Fuentes!E2031/Fuentes!E$47)*100000</f>
        <v>0</v>
      </c>
      <c r="F618" s="28">
        <f>(Fuentes!F2031/Fuentes!F$47)*100000</f>
        <v>0</v>
      </c>
      <c r="G618" s="28">
        <f>(Fuentes!G2031/Fuentes!G$47)*100000</f>
        <v>0</v>
      </c>
      <c r="H618" s="28">
        <f>(Fuentes!H2031/Fuentes!H$47)*100000</f>
        <v>0</v>
      </c>
      <c r="I618" s="28">
        <f>(Fuentes!I2031/Fuentes!I$47)*100000</f>
        <v>0</v>
      </c>
      <c r="J618" s="28">
        <f>(Fuentes!J2031/Fuentes!J$47)*100000</f>
        <v>0</v>
      </c>
      <c r="K618" s="28">
        <f>(Fuentes!K2031/Fuentes!K$47)*100000</f>
        <v>0</v>
      </c>
      <c r="L618" s="28">
        <f>(Fuentes!L2031/Fuentes!L$47)*100000</f>
        <v>0</v>
      </c>
      <c r="M618" s="28">
        <f>(Fuentes!M2031/Fuentes!M$47)*100000</f>
        <v>0</v>
      </c>
      <c r="N618" s="36">
        <f>(Fuentes!N2031/Fuentes!N$47)*100000</f>
        <v>0</v>
      </c>
      <c r="O618" s="28">
        <f>(Fuentes!O2031/Fuentes!O$47)*100000</f>
        <v>60.441259886455555</v>
      </c>
      <c r="P618" s="28">
        <f>(Fuentes!P2031/Fuentes!P$47)*100000</f>
        <v>85.674930895678571</v>
      </c>
      <c r="Q618" s="28">
        <f>(Fuentes!Q2031/Fuentes!Q$47)*100000</f>
        <v>77.685052478264211</v>
      </c>
      <c r="R618" s="28">
        <f>(Fuentes!R2031/Fuentes!R$47)*100000</f>
        <v>66.28413772780128</v>
      </c>
      <c r="S618" s="28">
        <f>(Fuentes!S2031/Fuentes!S$47)*100000</f>
        <v>60.5679895108184</v>
      </c>
      <c r="T618" s="28">
        <f>(Fuentes!T2031/Fuentes!T$47)*100000</f>
        <v>49.318026688733113</v>
      </c>
      <c r="U618" s="28">
        <f>(Fuentes!U2031/Fuentes!U$47)*100000</f>
        <v>60.478958978437227</v>
      </c>
      <c r="V618" s="28">
        <f>(Fuentes!V2031/Fuentes!V$47)*100000</f>
        <v>77.342838541486472</v>
      </c>
    </row>
    <row r="619" spans="1:22" s="14" customFormat="1" ht="12.75" x14ac:dyDescent="0.2">
      <c r="A619" s="28" t="s">
        <v>3198</v>
      </c>
      <c r="B619" s="29" t="s">
        <v>3605</v>
      </c>
      <c r="C619" s="29">
        <f>(Fuentes!C2032/Fuentes!C$47)*100000</f>
        <v>0</v>
      </c>
      <c r="D619" s="30">
        <f>(Fuentes!D2032/Fuentes!D$47)*100000</f>
        <v>0</v>
      </c>
      <c r="E619" s="35">
        <f>(Fuentes!E2032/Fuentes!E$47)*100000</f>
        <v>0</v>
      </c>
      <c r="F619" s="28">
        <f>(Fuentes!F2032/Fuentes!F$47)*100000</f>
        <v>0</v>
      </c>
      <c r="G619" s="28">
        <f>(Fuentes!G2032/Fuentes!G$47)*100000</f>
        <v>0</v>
      </c>
      <c r="H619" s="36">
        <f>(Fuentes!H2032/Fuentes!H$47)*100000</f>
        <v>0</v>
      </c>
      <c r="I619" s="28">
        <f>(Fuentes!I2032/Fuentes!I$47)*100000</f>
        <v>0</v>
      </c>
      <c r="J619" s="28">
        <f>(Fuentes!J2032/Fuentes!J$47)*100000</f>
        <v>0.20735463863846335</v>
      </c>
      <c r="K619" s="28">
        <f>(Fuentes!K2032/Fuentes!K$47)*100000</f>
        <v>1.02177748411136</v>
      </c>
      <c r="L619" s="28">
        <f>(Fuentes!L2032/Fuentes!L$47)*100000</f>
        <v>1.9465974483463653</v>
      </c>
      <c r="M619" s="28">
        <f>(Fuentes!M2032/Fuentes!M$47)*100000</f>
        <v>0.90429992408291859</v>
      </c>
      <c r="N619" s="28">
        <f>(Fuentes!N2032/Fuentes!N$47)*100000</f>
        <v>0.69684180406245699</v>
      </c>
      <c r="O619" s="28">
        <f>(Fuentes!O2032/Fuentes!O$47)*100000</f>
        <v>1.3111368609792988</v>
      </c>
      <c r="P619" s="28">
        <f>(Fuentes!P2032/Fuentes!P$47)*100000</f>
        <v>0.80625244527879791</v>
      </c>
      <c r="Q619" s="28">
        <f>(Fuentes!Q2032/Fuentes!Q$47)*100000</f>
        <v>0.58661851925334352</v>
      </c>
      <c r="R619" s="28">
        <f>(Fuentes!R2032/Fuentes!R$47)*100000</f>
        <v>0.66222054551659104</v>
      </c>
      <c r="S619" s="28">
        <f>(Fuentes!S2032/Fuentes!S$47)*100000</f>
        <v>0.59300192296209775</v>
      </c>
      <c r="T619" s="28">
        <f>(Fuentes!T2032/Fuentes!T$47)*100000</f>
        <v>0.46488303845936951</v>
      </c>
      <c r="U619" s="28">
        <f>(Fuentes!U2032/Fuentes!U$47)*100000</f>
        <v>0.61957955331512038</v>
      </c>
      <c r="V619" s="28">
        <f>(Fuentes!V2032/Fuentes!V$47)*100000</f>
        <v>0.98853321244231163</v>
      </c>
    </row>
    <row r="620" spans="1:22" s="14" customFormat="1" ht="12.75" x14ac:dyDescent="0.2">
      <c r="A620" s="28" t="s">
        <v>3198</v>
      </c>
      <c r="B620" s="29" t="s">
        <v>3606</v>
      </c>
      <c r="C620" s="29">
        <f>(Fuentes!C2033/Fuentes!C$47)*100000</f>
        <v>0</v>
      </c>
      <c r="D620" s="30">
        <f>(Fuentes!D2033/Fuentes!D$47)*100000</f>
        <v>0</v>
      </c>
      <c r="E620" s="35">
        <f>(Fuentes!E2033/Fuentes!E$47)*100000</f>
        <v>0</v>
      </c>
      <c r="F620" s="28">
        <f>(Fuentes!F2033/Fuentes!F$47)*100000</f>
        <v>0</v>
      </c>
      <c r="G620" s="28">
        <f>(Fuentes!G2033/Fuentes!G$47)*100000</f>
        <v>0</v>
      </c>
      <c r="H620" s="28">
        <f>(Fuentes!H2033/Fuentes!H$47)*100000</f>
        <v>0</v>
      </c>
      <c r="I620" s="28">
        <f>(Fuentes!I2033/Fuentes!I$47)*100000</f>
        <v>0</v>
      </c>
      <c r="J620" s="28">
        <f>(Fuentes!J2033/Fuentes!J$47)*100000</f>
        <v>4.6078808586325189E-2</v>
      </c>
      <c r="K620" s="28">
        <f>(Fuentes!K2033/Fuentes!K$47)*100000</f>
        <v>0.36329866101737252</v>
      </c>
      <c r="L620" s="28">
        <f>(Fuentes!L2033/Fuentes!L$47)*100000</f>
        <v>0.96211138251601969</v>
      </c>
      <c r="M620" s="28">
        <f>(Fuentes!M2033/Fuentes!M$47)*100000</f>
        <v>0.88224382837357906</v>
      </c>
      <c r="N620" s="36">
        <f>(Fuentes!N2033/Fuentes!N$47)*100000</f>
        <v>0.39197351478513209</v>
      </c>
      <c r="O620" s="28">
        <f>(Fuentes!O2033/Fuentes!O$47)*100000</f>
        <v>4.4062796147664969</v>
      </c>
      <c r="P620" s="28">
        <f>(Fuentes!P2033/Fuentes!P$47)*100000</f>
        <v>0.3394747138015991</v>
      </c>
      <c r="Q620" s="28">
        <f>(Fuentes!Q2033/Fuentes!Q$47)*100000</f>
        <v>0.25140793682286156</v>
      </c>
      <c r="R620" s="28">
        <f>(Fuentes!R2033/Fuentes!R$47)*100000</f>
        <v>0.10347196023696735</v>
      </c>
      <c r="S620" s="28">
        <f>(Fuentes!S2033/Fuentes!S$47)*100000</f>
        <v>0.30672513256660233</v>
      </c>
      <c r="T620" s="28">
        <f>(Fuentes!T2033/Fuentes!T$47)*100000</f>
        <v>0.16169844815978071</v>
      </c>
      <c r="U620" s="28">
        <f>(Fuentes!U2033/Fuentes!U$47)*100000</f>
        <v>0.43970161848169836</v>
      </c>
      <c r="V620" s="28">
        <f>(Fuentes!V2033/Fuentes!V$47)*100000</f>
        <v>0.4151839492257709</v>
      </c>
    </row>
    <row r="621" spans="1:22" s="14" customFormat="1" ht="12.75" x14ac:dyDescent="0.2">
      <c r="A621" s="28" t="s">
        <v>3198</v>
      </c>
      <c r="B621" s="29" t="s">
        <v>3607</v>
      </c>
      <c r="C621" s="29">
        <f>(Fuentes!C2034/Fuentes!C$47)*100000</f>
        <v>0</v>
      </c>
      <c r="D621" s="30">
        <f>(Fuentes!D2034/Fuentes!D$47)*100000</f>
        <v>0</v>
      </c>
      <c r="E621" s="35">
        <f>(Fuentes!E2034/Fuentes!E$47)*100000</f>
        <v>0</v>
      </c>
      <c r="F621" s="28">
        <f>(Fuentes!F2034/Fuentes!F$47)*100000</f>
        <v>0</v>
      </c>
      <c r="G621" s="28">
        <f>(Fuentes!G2034/Fuentes!G$47)*100000</f>
        <v>0</v>
      </c>
      <c r="H621" s="36">
        <f>(Fuentes!H2034/Fuentes!H$47)*100000</f>
        <v>0</v>
      </c>
      <c r="I621" s="28">
        <f>(Fuentes!I2034/Fuentes!I$47)*100000</f>
        <v>0</v>
      </c>
      <c r="J621" s="28">
        <f>(Fuentes!J2034/Fuentes!J$47)*100000</f>
        <v>0.27647285151795115</v>
      </c>
      <c r="K621" s="28">
        <f>(Fuentes!K2034/Fuentes!K$47)*100000</f>
        <v>1.6121378082645903</v>
      </c>
      <c r="L621" s="28">
        <f>(Fuentes!L2034/Fuentes!L$47)*100000</f>
        <v>1.8123493484604092</v>
      </c>
      <c r="M621" s="28">
        <f>(Fuentes!M2034/Fuentes!M$47)*100000</f>
        <v>1.9188803267125345</v>
      </c>
      <c r="N621" s="28">
        <f>(Fuentes!N2034/Fuentes!N$47)*100000</f>
        <v>2.1340780249412745</v>
      </c>
      <c r="O621" s="28">
        <f>(Fuentes!O2034/Fuentes!O$47)*100000</f>
        <v>2.1279106432286983</v>
      </c>
      <c r="P621" s="28">
        <f>(Fuentes!P2034/Fuentes!P$47)*100000</f>
        <v>2.164151300485194</v>
      </c>
      <c r="Q621" s="28">
        <f>(Fuentes!Q2034/Fuentes!Q$47)*100000</f>
        <v>1.5922502665447895</v>
      </c>
      <c r="R621" s="28">
        <f>(Fuentes!R2034/Fuentes!R$47)*100000</f>
        <v>1.903884068360199</v>
      </c>
      <c r="S621" s="28">
        <f>(Fuentes!S2034/Fuentes!S$47)*100000</f>
        <v>1.6767640580307592</v>
      </c>
      <c r="T621" s="28">
        <f>(Fuentes!T2034/Fuentes!T$47)*100000</f>
        <v>2.6073874765764637</v>
      </c>
      <c r="U621" s="28">
        <f>(Fuentes!U2034/Fuentes!U$47)*100000</f>
        <v>2.8180876457236121</v>
      </c>
      <c r="V621" s="28">
        <f>(Fuentes!V2034/Fuentes!V$47)*100000</f>
        <v>3.9145915212715541</v>
      </c>
    </row>
    <row r="622" spans="1:22" s="14" customFormat="1" ht="12.75" x14ac:dyDescent="0.2">
      <c r="A622" s="28" t="s">
        <v>3198</v>
      </c>
      <c r="B622" s="29" t="s">
        <v>3608</v>
      </c>
      <c r="C622" s="29">
        <f>(Fuentes!C2035/Fuentes!C$47)*100000</f>
        <v>0</v>
      </c>
      <c r="D622" s="30">
        <f>(Fuentes!D2035/Fuentes!D$47)*100000</f>
        <v>0</v>
      </c>
      <c r="E622" s="35">
        <f>(Fuentes!E2035/Fuentes!E$47)*100000</f>
        <v>0</v>
      </c>
      <c r="F622" s="28">
        <f>(Fuentes!F2035/Fuentes!F$47)*100000</f>
        <v>0</v>
      </c>
      <c r="G622" s="28">
        <f>(Fuentes!G2035/Fuentes!G$47)*100000</f>
        <v>0</v>
      </c>
      <c r="H622" s="28">
        <f>(Fuentes!H2035/Fuentes!H$47)*100000</f>
        <v>0</v>
      </c>
      <c r="I622" s="28">
        <f>(Fuentes!I2035/Fuentes!I$47)*100000</f>
        <v>0</v>
      </c>
      <c r="J622" s="28">
        <f>(Fuentes!J2035/Fuentes!J$47)*100000</f>
        <v>0.41470927727692669</v>
      </c>
      <c r="K622" s="28">
        <f>(Fuentes!K2035/Fuentes!K$47)*100000</f>
        <v>1.4304884777559042</v>
      </c>
      <c r="L622" s="28">
        <f>(Fuentes!L2035/Fuentes!L$47)*100000</f>
        <v>2.9534581974910372</v>
      </c>
      <c r="M622" s="28">
        <f>(Fuentes!M2035/Fuentes!M$47)*100000</f>
        <v>2.9114046336328112</v>
      </c>
      <c r="N622" s="36">
        <f>(Fuentes!N2035/Fuentes!N$47)*100000</f>
        <v>1.7421045101561428</v>
      </c>
      <c r="O622" s="28">
        <f>(Fuentes!O2035/Fuentes!O$47)*100000</f>
        <v>2.6437677688598979</v>
      </c>
      <c r="P622" s="28">
        <f>(Fuentes!P2035/Fuentes!P$47)*100000</f>
        <v>1.7822422474583952</v>
      </c>
      <c r="Q622" s="28">
        <f>(Fuentes!Q2035/Fuentes!Q$47)*100000</f>
        <v>1.5712996051428845</v>
      </c>
      <c r="R622" s="28">
        <f>(Fuentes!R2035/Fuentes!R$47)*100000</f>
        <v>1.676245755838871</v>
      </c>
      <c r="S622" s="28">
        <f>(Fuentes!S2035/Fuentes!S$47)*100000</f>
        <v>2.3106626653350708</v>
      </c>
      <c r="T622" s="28">
        <f>(Fuentes!T2035/Fuentes!T$47)*100000</f>
        <v>2.5265382524965738</v>
      </c>
      <c r="U622" s="28">
        <f>(Fuentes!U2035/Fuentes!U$47)*100000</f>
        <v>3.617545133872154</v>
      </c>
      <c r="V622" s="28">
        <f>(Fuentes!V2035/Fuentes!V$47)*100000</f>
        <v>3.3017009295573208</v>
      </c>
    </row>
    <row r="623" spans="1:22" s="14" customFormat="1" ht="12.75" x14ac:dyDescent="0.2">
      <c r="A623" s="28" t="s">
        <v>3198</v>
      </c>
      <c r="B623" s="29" t="s">
        <v>3609</v>
      </c>
      <c r="C623" s="29">
        <f>(Fuentes!C2036/Fuentes!C$47)*100000</f>
        <v>0</v>
      </c>
      <c r="D623" s="30">
        <f>(Fuentes!D2036/Fuentes!D$47)*100000</f>
        <v>0</v>
      </c>
      <c r="E623" s="35">
        <f>(Fuentes!E2036/Fuentes!E$47)*100000</f>
        <v>0</v>
      </c>
      <c r="F623" s="28">
        <f>(Fuentes!F2036/Fuentes!F$47)*100000</f>
        <v>0</v>
      </c>
      <c r="G623" s="28">
        <f>(Fuentes!G2036/Fuentes!G$47)*100000</f>
        <v>0</v>
      </c>
      <c r="H623" s="36">
        <f>(Fuentes!H2036/Fuentes!H$47)*100000</f>
        <v>0</v>
      </c>
      <c r="I623" s="28">
        <f>(Fuentes!I2036/Fuentes!I$47)*100000</f>
        <v>0</v>
      </c>
      <c r="J623" s="28">
        <f>(Fuentes!J2036/Fuentes!J$47)*100000</f>
        <v>41.3326913019337</v>
      </c>
      <c r="K623" s="28">
        <f>(Fuentes!K2036/Fuentes!K$47)*100000</f>
        <v>127.83571634548794</v>
      </c>
      <c r="L623" s="28">
        <f>(Fuentes!L2036/Fuentes!L$47)*100000</f>
        <v>30.83231360714128</v>
      </c>
      <c r="M623" s="28">
        <f>(Fuentes!M2036/Fuentes!M$47)*100000</f>
        <v>16.9831936961914</v>
      </c>
      <c r="N623" s="28">
        <f>(Fuentes!N2036/Fuentes!N$47)*100000</f>
        <v>22.451371874637289</v>
      </c>
      <c r="O623" s="28">
        <f>(Fuentes!O2036/Fuentes!O$47)*100000</f>
        <v>21.451058807497382</v>
      </c>
      <c r="P623" s="28">
        <f>(Fuentes!P2036/Fuentes!P$47)*100000</f>
        <v>4.7314288236097877</v>
      </c>
      <c r="Q623" s="28">
        <f>(Fuentes!Q2036/Fuentes!Q$47)*100000</f>
        <v>1.3408423297219283</v>
      </c>
      <c r="R623" s="28">
        <f>(Fuentes!R2036/Fuentes!R$47)*100000</f>
        <v>1.6141625796966907</v>
      </c>
      <c r="S623" s="28">
        <f>(Fuentes!S2036/Fuentes!S$47)*100000</f>
        <v>0.16358673736885457</v>
      </c>
      <c r="T623" s="28">
        <f>(Fuentes!T2036/Fuentes!T$47)*100000</f>
        <v>6.0636918059917756E-2</v>
      </c>
      <c r="U623" s="28">
        <f>(Fuentes!U2036/Fuentes!U$47)*100000</f>
        <v>0</v>
      </c>
      <c r="V623" s="28">
        <f>(Fuentes!V2036/Fuentes!V$47)*100000</f>
        <v>0</v>
      </c>
    </row>
    <row r="624" spans="1:22" s="14" customFormat="1" ht="12.75" x14ac:dyDescent="0.2">
      <c r="A624" s="28" t="s">
        <v>3198</v>
      </c>
      <c r="B624" s="29" t="s">
        <v>3610</v>
      </c>
      <c r="C624" s="29">
        <f>(Fuentes!C2037/Fuentes!C$47)*100000</f>
        <v>0</v>
      </c>
      <c r="D624" s="30">
        <f>(Fuentes!D2037/Fuentes!D$47)*100000</f>
        <v>0</v>
      </c>
      <c r="E624" s="35">
        <f>(Fuentes!E2037/Fuentes!E$47)*100000</f>
        <v>0</v>
      </c>
      <c r="F624" s="28">
        <f>(Fuentes!F2037/Fuentes!F$47)*100000</f>
        <v>0</v>
      </c>
      <c r="G624" s="28">
        <f>(Fuentes!G2037/Fuentes!G$47)*100000</f>
        <v>0</v>
      </c>
      <c r="H624" s="28">
        <f>(Fuentes!H2037/Fuentes!H$47)*100000</f>
        <v>0</v>
      </c>
      <c r="I624" s="28">
        <f>(Fuentes!I2037/Fuentes!I$47)*100000</f>
        <v>0</v>
      </c>
      <c r="J624" s="28">
        <f>(Fuentes!J2037/Fuentes!J$47)*100000</f>
        <v>8.8240918442812735</v>
      </c>
      <c r="K624" s="28">
        <f>(Fuentes!K2037/Fuentes!K$47)*100000</f>
        <v>7.2205608877202785</v>
      </c>
      <c r="L624" s="28">
        <f>(Fuentes!L2037/Fuentes!L$47)*100000</f>
        <v>2.1703442814896259</v>
      </c>
      <c r="M624" s="28">
        <f>(Fuentes!M2037/Fuentes!M$47)*100000</f>
        <v>3.2863582606915824</v>
      </c>
      <c r="N624" s="36">
        <f>(Fuentes!N2037/Fuentes!N$47)*100000</f>
        <v>15.570059059520524</v>
      </c>
      <c r="O624" s="28">
        <f>(Fuentes!O2037/Fuentes!O$47)*100000</f>
        <v>0.42988093802599958</v>
      </c>
      <c r="P624" s="28">
        <f>(Fuentes!P2037/Fuentes!P$47)*100000</f>
        <v>1.1881614983055968</v>
      </c>
      <c r="Q624" s="28">
        <f>(Fuentes!Q2037/Fuentes!Q$47)*100000</f>
        <v>6.2851984205715389E-2</v>
      </c>
      <c r="R624" s="28">
        <f>(Fuentes!R2037/Fuentes!R$47)*100000</f>
        <v>0</v>
      </c>
      <c r="S624" s="28">
        <f>(Fuentes!S2037/Fuentes!S$47)*100000</f>
        <v>0.16358673736885457</v>
      </c>
      <c r="T624" s="28">
        <f>(Fuentes!T2037/Fuentes!T$47)*100000</f>
        <v>0.36382150835950661</v>
      </c>
      <c r="U624" s="28">
        <f>(Fuentes!U2037/Fuentes!U$47)*100000</f>
        <v>0.8594167997596831</v>
      </c>
      <c r="V624" s="28">
        <f>(Fuentes!V2037/Fuentes!V$47)*100000</f>
        <v>2.2340850601196247</v>
      </c>
    </row>
    <row r="625" spans="1:22" s="14" customFormat="1" ht="12.75" x14ac:dyDescent="0.2">
      <c r="A625" s="28" t="s">
        <v>3198</v>
      </c>
      <c r="B625" s="29" t="s">
        <v>3611</v>
      </c>
      <c r="C625" s="29">
        <f>(Fuentes!C2038/Fuentes!C$47)*100000</f>
        <v>14.487330558273545</v>
      </c>
      <c r="D625" s="30">
        <f>(Fuentes!D2038/Fuentes!D$47)*100000</f>
        <v>20.159898092600457</v>
      </c>
      <c r="E625" s="35">
        <f>(Fuentes!E2038/Fuentes!E$47)*100000</f>
        <v>20.385682190695132</v>
      </c>
      <c r="F625" s="28">
        <f>(Fuentes!F2038/Fuentes!F$47)*100000</f>
        <v>17.59492757081102</v>
      </c>
      <c r="G625" s="28">
        <f>(Fuentes!G2038/Fuentes!G$47)*100000</f>
        <v>22.977858160138329</v>
      </c>
      <c r="H625" s="36">
        <f>(Fuentes!H2038/Fuentes!H$47)*100000</f>
        <v>20.97148257943542</v>
      </c>
      <c r="I625" s="28">
        <f>(Fuentes!I2038/Fuentes!I$47)*100000</f>
        <v>29.21478146408592</v>
      </c>
      <c r="J625" s="28">
        <f>(Fuentes!J2038/Fuentes!J$47)*100000</f>
        <v>40.411115130207193</v>
      </c>
      <c r="K625" s="28">
        <f>(Fuentes!K2038/Fuentes!K$47)*100000</f>
        <v>45.003621633527018</v>
      </c>
      <c r="L625" s="28">
        <f>(Fuentes!L2038/Fuentes!L$47)*100000</f>
        <v>64.058718328915461</v>
      </c>
      <c r="M625" s="28">
        <f>(Fuentes!M2038/Fuentes!M$47)*100000</f>
        <v>38.44377482137871</v>
      </c>
      <c r="N625" s="28">
        <f>(Fuentes!N2038/Fuentes!N$47)*100000</f>
        <v>41.200771665192775</v>
      </c>
      <c r="O625" s="28">
        <f>(Fuentes!O2038/Fuentes!O$47)*100000</f>
        <v>68.028658442614443</v>
      </c>
      <c r="P625" s="28">
        <f>(Fuentes!P2038/Fuentes!P$47)*100000</f>
        <v>42.667728090938489</v>
      </c>
      <c r="Q625" s="28">
        <f>(Fuentes!Q2038/Fuentes!Q$47)*100000</f>
        <v>29.959445804724336</v>
      </c>
      <c r="R625" s="28">
        <f>(Fuentes!R2038/Fuentes!R$47)*100000</f>
        <v>24.750492888682587</v>
      </c>
      <c r="S625" s="28">
        <f>(Fuentes!S2038/Fuentes!S$47)*100000</f>
        <v>15.80656849826557</v>
      </c>
      <c r="T625" s="28">
        <f>(Fuentes!T2038/Fuentes!T$47)*100000</f>
        <v>15.078380290899551</v>
      </c>
      <c r="U625" s="28">
        <f>(Fuentes!U2038/Fuentes!U$47)*100000</f>
        <v>26.122273425253624</v>
      </c>
      <c r="V625" s="28">
        <f>(Fuentes!V2038/Fuentes!V$47)*100000</f>
        <v>31.949393426135515</v>
      </c>
    </row>
    <row r="626" spans="1:22" s="14" customFormat="1" ht="12.75" x14ac:dyDescent="0.2">
      <c r="A626" s="28" t="s">
        <v>3198</v>
      </c>
      <c r="B626" s="29" t="s">
        <v>3612</v>
      </c>
      <c r="C626" s="29">
        <f>(Fuentes!C2039/Fuentes!C$47)*100000</f>
        <v>0.1807688304953918</v>
      </c>
      <c r="D626" s="30">
        <f>(Fuentes!D2039/Fuentes!D$47)*100000</f>
        <v>0.12647363922584981</v>
      </c>
      <c r="E626" s="35">
        <f>(Fuentes!E2039/Fuentes!E$47)*100000</f>
        <v>2.6103617439304738</v>
      </c>
      <c r="F626" s="28">
        <f>(Fuentes!F2039/Fuentes!F$47)*100000</f>
        <v>4.8942774884036214E-2</v>
      </c>
      <c r="G626" s="28">
        <f>(Fuentes!G2039/Fuentes!G$47)*100000</f>
        <v>0.33720127279028994</v>
      </c>
      <c r="H626" s="28">
        <f>(Fuentes!H2039/Fuentes!H$47)*100000</f>
        <v>0.21351056924764569</v>
      </c>
      <c r="I626" s="28">
        <f>(Fuentes!I2039/Fuentes!I$47)*100000</f>
        <v>9.3487300685074937E-2</v>
      </c>
      <c r="J626" s="28">
        <f>(Fuentes!J2039/Fuentes!J$47)*100000</f>
        <v>0.23039404293162596</v>
      </c>
      <c r="K626" s="28">
        <f>(Fuentes!K2039/Fuentes!K$47)*100000</f>
        <v>1.5667254756374189</v>
      </c>
      <c r="L626" s="28">
        <f>(Fuentes!L2039/Fuentes!L$47)*100000</f>
        <v>0.24612151645758645</v>
      </c>
      <c r="M626" s="28">
        <f>(Fuentes!M2039/Fuentes!M$47)*100000</f>
        <v>0.26467314851207369</v>
      </c>
      <c r="N626" s="36">
        <f>(Fuentes!N2039/Fuentes!N$47)*100000</f>
        <v>0.500855046669891</v>
      </c>
      <c r="O626" s="28">
        <f>(Fuentes!O2039/Fuentes!O$47)*100000</f>
        <v>0.12896428140779989</v>
      </c>
      <c r="P626" s="28">
        <f>(Fuentes!P2039/Fuentes!P$47)*100000</f>
        <v>8.4868678450399776E-2</v>
      </c>
      <c r="Q626" s="28">
        <f>(Fuentes!Q2039/Fuentes!Q$47)*100000</f>
        <v>0.18855595261714614</v>
      </c>
      <c r="R626" s="28">
        <f>(Fuentes!R2039/Fuentes!R$47)*100000</f>
        <v>8.277756818957388E-2</v>
      </c>
      <c r="S626" s="28">
        <f>(Fuentes!S2039/Fuentes!S$47)*100000</f>
        <v>0.2044834217110682</v>
      </c>
      <c r="T626" s="28">
        <f>(Fuentes!T2039/Fuentes!T$47)*100000</f>
        <v>4.0424612039945178E-2</v>
      </c>
      <c r="U626" s="28">
        <f>(Fuentes!U2039/Fuentes!U$47)*100000</f>
        <v>0.15989149762970847</v>
      </c>
      <c r="V626" s="28">
        <f>(Fuentes!V2039/Fuentes!V$47)*100000</f>
        <v>0.13839464974192364</v>
      </c>
    </row>
    <row r="627" spans="1:22" s="14" customFormat="1" ht="12.75" x14ac:dyDescent="0.2">
      <c r="A627" s="28" t="s">
        <v>3198</v>
      </c>
      <c r="B627" s="29" t="s">
        <v>3613</v>
      </c>
      <c r="C627" s="29">
        <f>(Fuentes!C2040/Fuentes!C$47)*100000</f>
        <v>2.5824118642198829E-2</v>
      </c>
      <c r="D627" s="30">
        <f>(Fuentes!D2040/Fuentes!D$47)*100000</f>
        <v>0.17706309491618971</v>
      </c>
      <c r="E627" s="35">
        <f>(Fuentes!E2040/Fuentes!E$47)*100000</f>
        <v>0.22374529233689774</v>
      </c>
      <c r="F627" s="28">
        <f>(Fuentes!F2040/Fuentes!F$47)*100000</f>
        <v>4.8942774884036214E-2</v>
      </c>
      <c r="G627" s="28">
        <f>(Fuentes!G2040/Fuentes!G$47)*100000</f>
        <v>0.16860063639514497</v>
      </c>
      <c r="H627" s="36">
        <f>(Fuentes!H2040/Fuentes!H$47)*100000</f>
        <v>0</v>
      </c>
      <c r="I627" s="28">
        <f>(Fuentes!I2040/Fuentes!I$47)*100000</f>
        <v>0</v>
      </c>
      <c r="J627" s="28">
        <f>(Fuentes!J2040/Fuentes!J$47)*100000</f>
        <v>4.6078808586325189E-2</v>
      </c>
      <c r="K627" s="28">
        <f>(Fuentes!K2040/Fuentes!K$47)*100000</f>
        <v>4.5412332627171564E-2</v>
      </c>
      <c r="L627" s="28">
        <f>(Fuentes!L2040/Fuentes!L$47)*100000</f>
        <v>0.49224303291517291</v>
      </c>
      <c r="M627" s="28">
        <f>(Fuentes!M2040/Fuentes!M$47)*100000</f>
        <v>2.2056095709339477E-2</v>
      </c>
      <c r="N627" s="28">
        <f>(Fuentes!N2040/Fuentes!N$47)*100000</f>
        <v>0.13065783826171071</v>
      </c>
      <c r="O627" s="28">
        <f>(Fuentes!O2040/Fuentes!O$47)*100000</f>
        <v>6.4482140703899946E-2</v>
      </c>
      <c r="P627" s="28">
        <f>(Fuentes!P2040/Fuentes!P$47)*100000</f>
        <v>4.2434339225199888E-2</v>
      </c>
      <c r="Q627" s="28">
        <f>(Fuentes!Q2040/Fuentes!Q$47)*100000</f>
        <v>0.33521058243048207</v>
      </c>
      <c r="R627" s="28">
        <f>(Fuentes!R2040/Fuentes!R$47)*100000</f>
        <v>8.277756818957388E-2</v>
      </c>
      <c r="S627" s="28">
        <f>(Fuentes!S2040/Fuentes!S$47)*100000</f>
        <v>0.14313839519774774</v>
      </c>
      <c r="T627" s="28">
        <f>(Fuentes!T2040/Fuentes!T$47)*100000</f>
        <v>0.28297228427961624</v>
      </c>
      <c r="U627" s="28">
        <f>(Fuentes!U2040/Fuentes!U$47)*100000</f>
        <v>9.9932186018567806E-2</v>
      </c>
      <c r="V627" s="28">
        <f>(Fuentes!V2040/Fuentes!V$47)*100000</f>
        <v>9.8853321244231157E-2</v>
      </c>
    </row>
    <row r="628" spans="1:22" s="14" customFormat="1" ht="12.75" x14ac:dyDescent="0.2">
      <c r="A628" s="28" t="s">
        <v>3198</v>
      </c>
      <c r="B628" s="29" t="s">
        <v>3614</v>
      </c>
      <c r="C628" s="29">
        <f>(Fuentes!C2041/Fuentes!C$47)*100000</f>
        <v>1.7043918303851227</v>
      </c>
      <c r="D628" s="30">
        <f>(Fuentes!D2041/Fuentes!D$47)*100000</f>
        <v>0.60707346828407893</v>
      </c>
      <c r="E628" s="35">
        <f>(Fuentes!E2041/Fuentes!E$47)*100000</f>
        <v>9.9442352149732335E-2</v>
      </c>
      <c r="F628" s="28">
        <f>(Fuentes!F2041/Fuentes!F$47)*100000</f>
        <v>0.53837052372439842</v>
      </c>
      <c r="G628" s="28">
        <f>(Fuentes!G2041/Fuentes!G$47)*100000</f>
        <v>1.3247192859618535</v>
      </c>
      <c r="H628" s="28">
        <f>(Fuentes!H2041/Fuentes!H$47)*100000</f>
        <v>0</v>
      </c>
      <c r="I628" s="28">
        <f>(Fuentes!I2041/Fuentes!I$47)*100000</f>
        <v>0</v>
      </c>
      <c r="J628" s="28">
        <f>(Fuentes!J2041/Fuentes!J$47)*100000</f>
        <v>0</v>
      </c>
      <c r="K628" s="28">
        <f>(Fuentes!K2041/Fuentes!K$47)*100000</f>
        <v>0</v>
      </c>
      <c r="L628" s="28">
        <f>(Fuentes!L2041/Fuentes!L$47)*100000</f>
        <v>1.7675999818317569</v>
      </c>
      <c r="M628" s="28">
        <f>(Fuentes!M2041/Fuentes!M$47)*100000</f>
        <v>1.3895340296883871</v>
      </c>
      <c r="N628" s="36">
        <f>(Fuentes!N2041/Fuentes!N$47)*100000</f>
        <v>2.6349330716111656</v>
      </c>
      <c r="O628" s="28">
        <f>(Fuentes!O2041/Fuentes!O$47)*100000</f>
        <v>4.3203034271612966</v>
      </c>
      <c r="P628" s="28">
        <f>(Fuentes!P2041/Fuentes!P$47)*100000</f>
        <v>0.2970403745763992</v>
      </c>
      <c r="Q628" s="28">
        <f>(Fuentes!Q2041/Fuentes!Q$47)*100000</f>
        <v>0.12570396841143078</v>
      </c>
      <c r="R628" s="28">
        <f>(Fuentes!R2041/Fuentes!R$47)*100000</f>
        <v>0.12416635228436081</v>
      </c>
      <c r="S628" s="28">
        <f>(Fuentes!S2041/Fuentes!S$47)*100000</f>
        <v>4.0896684342213642E-2</v>
      </c>
      <c r="T628" s="28">
        <f>(Fuentes!T2041/Fuentes!T$47)*100000</f>
        <v>0.12127383611983551</v>
      </c>
      <c r="U628" s="28">
        <f>(Fuentes!U2041/Fuentes!U$47)*100000</f>
        <v>0.23983724644456272</v>
      </c>
      <c r="V628" s="28">
        <f>(Fuentes!V2041/Fuentes!V$47)*100000</f>
        <v>7.9082656995384928E-2</v>
      </c>
    </row>
    <row r="629" spans="1:22" s="14" customFormat="1" ht="12.75" x14ac:dyDescent="0.2">
      <c r="A629" s="28" t="s">
        <v>3198</v>
      </c>
      <c r="B629" s="29" t="s">
        <v>3615</v>
      </c>
      <c r="C629" s="29">
        <f>(Fuentes!C2042/Fuentes!C$47)*100000</f>
        <v>0</v>
      </c>
      <c r="D629" s="30">
        <f>(Fuentes!D2042/Fuentes!D$47)*100000</f>
        <v>0</v>
      </c>
      <c r="E629" s="35">
        <f>(Fuentes!E2042/Fuentes!E$47)*100000</f>
        <v>0</v>
      </c>
      <c r="F629" s="28">
        <f>(Fuentes!F2042/Fuentes!F$47)*100000</f>
        <v>0</v>
      </c>
      <c r="G629" s="28">
        <f>(Fuentes!G2042/Fuentes!G$47)*100000</f>
        <v>0</v>
      </c>
      <c r="H629" s="36">
        <f>(Fuentes!H2042/Fuentes!H$47)*100000</f>
        <v>0.23723396583071743</v>
      </c>
      <c r="I629" s="28">
        <f>(Fuentes!I2042/Fuentes!I$47)*100000</f>
        <v>7.0115475513806202E-2</v>
      </c>
      <c r="J629" s="28">
        <f>(Fuentes!J2042/Fuentes!J$47)*100000</f>
        <v>0</v>
      </c>
      <c r="K629" s="28">
        <f>(Fuentes!K2042/Fuentes!K$47)*100000</f>
        <v>4.5412332627171564E-2</v>
      </c>
      <c r="L629" s="28">
        <f>(Fuentes!L2042/Fuentes!L$47)*100000</f>
        <v>0</v>
      </c>
      <c r="M629" s="28">
        <f>(Fuentes!M2042/Fuentes!M$47)*100000</f>
        <v>6.6168287128018421E-2</v>
      </c>
      <c r="N629" s="28">
        <f>(Fuentes!N2042/Fuentes!N$47)*100000</f>
        <v>2.1776306376951781E-2</v>
      </c>
      <c r="O629" s="28">
        <f>(Fuentes!O2042/Fuentes!O$47)*100000</f>
        <v>0</v>
      </c>
      <c r="P629" s="28">
        <f>(Fuentes!P2042/Fuentes!P$47)*100000</f>
        <v>0</v>
      </c>
      <c r="Q629" s="28">
        <f>(Fuentes!Q2042/Fuentes!Q$47)*100000</f>
        <v>0</v>
      </c>
      <c r="R629" s="28">
        <f>(Fuentes!R2042/Fuentes!R$47)*100000</f>
        <v>0</v>
      </c>
      <c r="S629" s="28">
        <f>(Fuentes!S2042/Fuentes!S$47)*100000</f>
        <v>0</v>
      </c>
      <c r="T629" s="28">
        <f>(Fuentes!T2042/Fuentes!T$47)*100000</f>
        <v>2.0212306019972589E-2</v>
      </c>
      <c r="U629" s="28">
        <f>(Fuentes!U2042/Fuentes!U$47)*100000</f>
        <v>5.9959311611140681E-2</v>
      </c>
      <c r="V629" s="28">
        <f>(Fuentes!V2042/Fuentes!V$47)*100000</f>
        <v>0</v>
      </c>
    </row>
    <row r="630" spans="1:22" s="14" customFormat="1" ht="12.75" x14ac:dyDescent="0.2">
      <c r="A630" s="28" t="s">
        <v>3198</v>
      </c>
      <c r="B630" s="29" t="s">
        <v>3616</v>
      </c>
      <c r="C630" s="29">
        <f>(Fuentes!C2043/Fuentes!C$47)*100000</f>
        <v>0.619778847412772</v>
      </c>
      <c r="D630" s="30">
        <f>(Fuentes!D2043/Fuentes!D$47)*100000</f>
        <v>0</v>
      </c>
      <c r="E630" s="35">
        <f>(Fuentes!E2043/Fuentes!E$47)*100000</f>
        <v>0</v>
      </c>
      <c r="F630" s="28">
        <f>(Fuentes!F2043/Fuentes!F$47)*100000</f>
        <v>0</v>
      </c>
      <c r="G630" s="28">
        <f>(Fuentes!G2043/Fuentes!G$47)*100000</f>
        <v>0</v>
      </c>
      <c r="H630" s="28">
        <f>(Fuentes!H2043/Fuentes!H$47)*100000</f>
        <v>0</v>
      </c>
      <c r="I630" s="28">
        <f>(Fuentes!I2043/Fuentes!I$47)*100000</f>
        <v>0</v>
      </c>
      <c r="J630" s="28">
        <f>(Fuentes!J2043/Fuentes!J$47)*100000</f>
        <v>0</v>
      </c>
      <c r="K630" s="28">
        <f>(Fuentes!K2043/Fuentes!K$47)*100000</f>
        <v>4.5412332627171564E-2</v>
      </c>
      <c r="L630" s="28">
        <f>(Fuentes!L2043/Fuentes!L$47)*100000</f>
        <v>2.237468331432604E-2</v>
      </c>
      <c r="M630" s="28">
        <f>(Fuentes!M2043/Fuentes!M$47)*100000</f>
        <v>2.2056095709339477E-2</v>
      </c>
      <c r="N630" s="36">
        <f>(Fuentes!N2043/Fuentes!N$47)*100000</f>
        <v>2.1776306376951781E-2</v>
      </c>
      <c r="O630" s="28">
        <f>(Fuentes!O2043/Fuentes!O$47)*100000</f>
        <v>2.1494046901299982E-2</v>
      </c>
      <c r="P630" s="28">
        <f>(Fuentes!P2043/Fuentes!P$47)*100000</f>
        <v>4.2434339225199888E-2</v>
      </c>
      <c r="Q630" s="28">
        <f>(Fuentes!Q2043/Fuentes!Q$47)*100000</f>
        <v>0</v>
      </c>
      <c r="R630" s="28">
        <f>(Fuentes!R2043/Fuentes!R$47)*100000</f>
        <v>2.069439204739347E-2</v>
      </c>
      <c r="S630" s="28">
        <f>(Fuentes!S2043/Fuentes!S$47)*100000</f>
        <v>0</v>
      </c>
      <c r="T630" s="28">
        <f>(Fuentes!T2043/Fuentes!T$47)*100000</f>
        <v>0</v>
      </c>
      <c r="U630" s="28">
        <f>(Fuentes!U2043/Fuentes!U$47)*100000</f>
        <v>0</v>
      </c>
      <c r="V630" s="28">
        <f>(Fuentes!V2043/Fuentes!V$47)*100000</f>
        <v>0</v>
      </c>
    </row>
    <row r="631" spans="1:22" s="14" customFormat="1" ht="12.75" x14ac:dyDescent="0.2">
      <c r="A631" s="28" t="s">
        <v>3198</v>
      </c>
      <c r="B631" s="29" t="s">
        <v>3617</v>
      </c>
      <c r="C631" s="29">
        <f>(Fuentes!C2044/Fuentes!C$47)*100000</f>
        <v>0</v>
      </c>
      <c r="D631" s="30">
        <f>(Fuentes!D2044/Fuentes!D$47)*100000</f>
        <v>0</v>
      </c>
      <c r="E631" s="35">
        <f>(Fuentes!E2044/Fuentes!E$47)*100000</f>
        <v>0</v>
      </c>
      <c r="F631" s="28">
        <f>(Fuentes!F2044/Fuentes!F$47)*100000</f>
        <v>0</v>
      </c>
      <c r="G631" s="28">
        <f>(Fuentes!G2044/Fuentes!G$47)*100000</f>
        <v>0</v>
      </c>
      <c r="H631" s="36">
        <f>(Fuentes!H2044/Fuentes!H$47)*100000</f>
        <v>0</v>
      </c>
      <c r="I631" s="28">
        <f>(Fuentes!I2044/Fuentes!I$47)*100000</f>
        <v>2.3371825171268734E-2</v>
      </c>
      <c r="J631" s="28">
        <f>(Fuentes!J2044/Fuentes!J$47)*100000</f>
        <v>2.3039404293162594E-2</v>
      </c>
      <c r="K631" s="28">
        <f>(Fuentes!K2044/Fuentes!K$47)*100000</f>
        <v>0.1135308315679289</v>
      </c>
      <c r="L631" s="28">
        <f>(Fuentes!L2044/Fuentes!L$47)*100000</f>
        <v>4.4749366628652081E-2</v>
      </c>
      <c r="M631" s="28">
        <f>(Fuentes!M2044/Fuentes!M$47)*100000</f>
        <v>6.6168287128018421E-2</v>
      </c>
      <c r="N631" s="28">
        <f>(Fuentes!N2044/Fuentes!N$47)*100000</f>
        <v>2.1776306376951781E-2</v>
      </c>
      <c r="O631" s="28">
        <f>(Fuentes!O2044/Fuentes!O$47)*100000</f>
        <v>0</v>
      </c>
      <c r="P631" s="28">
        <f>(Fuentes!P2044/Fuentes!P$47)*100000</f>
        <v>0</v>
      </c>
      <c r="Q631" s="28">
        <f>(Fuentes!Q2044/Fuentes!Q$47)*100000</f>
        <v>0</v>
      </c>
      <c r="R631" s="28">
        <f>(Fuentes!R2044/Fuentes!R$47)*100000</f>
        <v>0</v>
      </c>
      <c r="S631" s="28">
        <f>(Fuentes!S2044/Fuentes!S$47)*100000</f>
        <v>0</v>
      </c>
      <c r="T631" s="28">
        <f>(Fuentes!T2044/Fuentes!T$47)*100000</f>
        <v>0</v>
      </c>
      <c r="U631" s="28">
        <f>(Fuentes!U2044/Fuentes!U$47)*100000</f>
        <v>0</v>
      </c>
      <c r="V631" s="28">
        <f>(Fuentes!V2044/Fuentes!V$47)*100000</f>
        <v>0</v>
      </c>
    </row>
    <row r="632" spans="1:22" s="14" customFormat="1" ht="12.75" x14ac:dyDescent="0.2">
      <c r="A632" s="28" t="s">
        <v>3198</v>
      </c>
      <c r="B632" s="29" t="s">
        <v>3618</v>
      </c>
      <c r="C632" s="29">
        <f>(Fuentes!C2045/Fuentes!C$47)*100000</f>
        <v>2.298346559155696</v>
      </c>
      <c r="D632" s="30">
        <f>(Fuentes!D2045/Fuentes!D$47)*100000</f>
        <v>2.5041780566718259</v>
      </c>
      <c r="E632" s="35">
        <f>(Fuentes!E2045/Fuentes!E$47)*100000</f>
        <v>2.1131499831818119</v>
      </c>
      <c r="F632" s="28">
        <f>(Fuentes!F2045/Fuentes!F$47)*100000</f>
        <v>2.0311251576875029</v>
      </c>
      <c r="G632" s="28">
        <f>(Fuentes!G2045/Fuentes!G$47)*100000</f>
        <v>1.9991218315424335</v>
      </c>
      <c r="H632" s="28">
        <f>(Fuentes!H2045/Fuentes!H$47)*100000</f>
        <v>2.2062758822256723</v>
      </c>
      <c r="I632" s="28">
        <f>(Fuentes!I2045/Fuentes!I$47)*100000</f>
        <v>1.9632333143865737</v>
      </c>
      <c r="J632" s="28">
        <f>(Fuentes!J2045/Fuentes!J$47)*100000</f>
        <v>1.7740341305735199</v>
      </c>
      <c r="K632" s="28">
        <f>(Fuentes!K2045/Fuentes!K$47)*100000</f>
        <v>3.088038618647666</v>
      </c>
      <c r="L632" s="28">
        <f>(Fuentes!L2045/Fuentes!L$47)*100000</f>
        <v>4.6091847627511644</v>
      </c>
      <c r="M632" s="28">
        <f>(Fuentes!M2045/Fuentes!M$47)*100000</f>
        <v>5.7566409801376039</v>
      </c>
      <c r="N632" s="36">
        <f>(Fuentes!N2045/Fuentes!N$47)*100000</f>
        <v>5.7053922707613678</v>
      </c>
      <c r="O632" s="28">
        <f>(Fuentes!O2045/Fuentes!O$47)*100000</f>
        <v>5.6314402881405954</v>
      </c>
      <c r="P632" s="28">
        <f>(Fuentes!P2045/Fuentes!P$47)*100000</f>
        <v>4.0100450567813892</v>
      </c>
      <c r="Q632" s="28">
        <f>(Fuentes!Q2045/Fuentes!Q$47)*100000</f>
        <v>4.1901322803810253</v>
      </c>
      <c r="R632" s="28">
        <f>(Fuentes!R2045/Fuentes!R$47)*100000</f>
        <v>4.3044335458578411</v>
      </c>
      <c r="S632" s="28">
        <f>(Fuentes!S2045/Fuentes!S$47)*100000</f>
        <v>3.2308380630348776</v>
      </c>
      <c r="T632" s="28">
        <f>(Fuentes!T2045/Fuentes!T$47)*100000</f>
        <v>6.0636918059917756E-2</v>
      </c>
      <c r="U632" s="28">
        <f>(Fuentes!U2045/Fuentes!U$47)*100000</f>
        <v>2.7981012085198982</v>
      </c>
      <c r="V632" s="28">
        <f>(Fuentes!V2045/Fuentes!V$47)*100000</f>
        <v>5.0217487192069434</v>
      </c>
    </row>
    <row r="633" spans="1:22" s="14" customFormat="1" ht="12.75" x14ac:dyDescent="0.2">
      <c r="A633" s="28" t="s">
        <v>3198</v>
      </c>
      <c r="B633" s="29" t="s">
        <v>3619</v>
      </c>
      <c r="C633" s="29">
        <f>(Fuentes!C2046/Fuentes!C$47)*100000</f>
        <v>0</v>
      </c>
      <c r="D633" s="30">
        <f>(Fuentes!D2046/Fuentes!D$47)*100000</f>
        <v>0</v>
      </c>
      <c r="E633" s="35">
        <f>(Fuentes!E2046/Fuentes!E$47)*100000</f>
        <v>0</v>
      </c>
      <c r="F633" s="28">
        <f>(Fuentes!F2046/Fuentes!F$47)*100000</f>
        <v>0</v>
      </c>
      <c r="G633" s="28">
        <f>(Fuentes!G2046/Fuentes!G$47)*100000</f>
        <v>0</v>
      </c>
      <c r="H633" s="36">
        <f>(Fuentes!H2046/Fuentes!H$47)*100000</f>
        <v>0</v>
      </c>
      <c r="I633" s="28">
        <f>(Fuentes!I2046/Fuentes!I$47)*100000</f>
        <v>0</v>
      </c>
      <c r="J633" s="28">
        <f>(Fuentes!J2046/Fuentes!J$47)*100000</f>
        <v>0</v>
      </c>
      <c r="K633" s="28">
        <f>(Fuentes!K2046/Fuentes!K$47)*100000</f>
        <v>0</v>
      </c>
      <c r="L633" s="28">
        <f>(Fuentes!L2046/Fuentes!L$47)*100000</f>
        <v>0</v>
      </c>
      <c r="M633" s="28">
        <f>(Fuentes!M2046/Fuentes!M$47)*100000</f>
        <v>0</v>
      </c>
      <c r="N633" s="28">
        <f>(Fuentes!N2046/Fuentes!N$47)*100000</f>
        <v>0</v>
      </c>
      <c r="O633" s="28">
        <f>(Fuentes!O2046/Fuentes!O$47)*100000</f>
        <v>0</v>
      </c>
      <c r="P633" s="28">
        <f>(Fuentes!P2046/Fuentes!P$47)*100000</f>
        <v>4.2434339225199888E-2</v>
      </c>
      <c r="Q633" s="28">
        <f>(Fuentes!Q2046/Fuentes!Q$47)*100000</f>
        <v>0</v>
      </c>
      <c r="R633" s="28">
        <f>(Fuentes!R2046/Fuentes!R$47)*100000</f>
        <v>0</v>
      </c>
      <c r="S633" s="28">
        <f>(Fuentes!S2046/Fuentes!S$47)*100000</f>
        <v>0</v>
      </c>
      <c r="T633" s="28">
        <f>(Fuentes!T2046/Fuentes!T$47)*100000</f>
        <v>6.0636918059917756E-2</v>
      </c>
      <c r="U633" s="28">
        <f>(Fuentes!U2046/Fuentes!U$47)*100000</f>
        <v>1.9986437203713559E-2</v>
      </c>
      <c r="V633" s="28">
        <f>(Fuentes!V2046/Fuentes!V$47)*100000</f>
        <v>1.9770664248846232E-2</v>
      </c>
    </row>
    <row r="634" spans="1:22" s="14" customFormat="1" ht="12.75" x14ac:dyDescent="0.2">
      <c r="A634" s="28" t="s">
        <v>3198</v>
      </c>
      <c r="B634" s="29" t="s">
        <v>3620</v>
      </c>
      <c r="C634" s="29">
        <f>(Fuentes!C2047/Fuentes!C$47)*100000</f>
        <v>0</v>
      </c>
      <c r="D634" s="30">
        <f>(Fuentes!D2047/Fuentes!D$47)*100000</f>
        <v>0</v>
      </c>
      <c r="E634" s="35">
        <f>(Fuentes!E2047/Fuentes!E$47)*100000</f>
        <v>0</v>
      </c>
      <c r="F634" s="28">
        <f>(Fuentes!F2047/Fuentes!F$47)*100000</f>
        <v>0</v>
      </c>
      <c r="G634" s="28">
        <f>(Fuentes!G2047/Fuentes!G$47)*100000</f>
        <v>0</v>
      </c>
      <c r="H634" s="28">
        <f>(Fuentes!H2047/Fuentes!H$47)*100000</f>
        <v>0</v>
      </c>
      <c r="I634" s="28">
        <f>(Fuentes!I2047/Fuentes!I$47)*100000</f>
        <v>0</v>
      </c>
      <c r="J634" s="28">
        <f>(Fuentes!J2047/Fuentes!J$47)*100000</f>
        <v>0</v>
      </c>
      <c r="K634" s="28">
        <f>(Fuentes!K2047/Fuentes!K$47)*100000</f>
        <v>0</v>
      </c>
      <c r="L634" s="28">
        <f>(Fuentes!L2047/Fuentes!L$47)*100000</f>
        <v>17.899746651460834</v>
      </c>
      <c r="M634" s="28">
        <f>(Fuentes!M2047/Fuentes!M$47)*100000</f>
        <v>1.9188803267125345</v>
      </c>
      <c r="N634" s="36">
        <f>(Fuentes!N2047/Fuentes!N$47)*100000</f>
        <v>11.84631066906177</v>
      </c>
      <c r="O634" s="28">
        <f>(Fuentes!O2047/Fuentes!O$47)*100000</f>
        <v>39.527552251490668</v>
      </c>
      <c r="P634" s="28">
        <f>(Fuentes!P2047/Fuentes!P$47)*100000</f>
        <v>24.887739955579736</v>
      </c>
      <c r="Q634" s="28">
        <f>(Fuentes!Q2047/Fuentes!Q$47)*100000</f>
        <v>10.831491944784952</v>
      </c>
      <c r="R634" s="28">
        <f>(Fuentes!R2047/Fuentes!R$47)*100000</f>
        <v>3.7663793526256111</v>
      </c>
      <c r="S634" s="28">
        <f>(Fuentes!S2047/Fuentes!S$47)*100000</f>
        <v>0.3885185012510296</v>
      </c>
      <c r="T634" s="28">
        <f>(Fuentes!T2047/Fuentes!T$47)*100000</f>
        <v>2.6478120886164094</v>
      </c>
      <c r="U634" s="28">
        <f>(Fuentes!U2047/Fuentes!U$47)*100000</f>
        <v>1.2191726694265272</v>
      </c>
      <c r="V634" s="28">
        <f>(Fuentes!V2047/Fuentes!V$47)*100000</f>
        <v>8.8374869192342658</v>
      </c>
    </row>
    <row r="635" spans="1:22" s="14" customFormat="1" ht="12.75" x14ac:dyDescent="0.2">
      <c r="A635" s="28" t="s">
        <v>3198</v>
      </c>
      <c r="B635" s="29" t="s">
        <v>3621</v>
      </c>
      <c r="C635" s="29">
        <f>(Fuentes!C2048/Fuentes!C$47)*100000</f>
        <v>0</v>
      </c>
      <c r="D635" s="30">
        <f>(Fuentes!D2048/Fuentes!D$47)*100000</f>
        <v>0</v>
      </c>
      <c r="E635" s="35">
        <f>(Fuentes!E2048/Fuentes!E$47)*100000</f>
        <v>0</v>
      </c>
      <c r="F635" s="28">
        <f>(Fuentes!F2048/Fuentes!F$47)*100000</f>
        <v>0</v>
      </c>
      <c r="G635" s="28">
        <f>(Fuentes!G2048/Fuentes!G$47)*100000</f>
        <v>0</v>
      </c>
      <c r="H635" s="36">
        <f>(Fuentes!H2048/Fuentes!H$47)*100000</f>
        <v>0</v>
      </c>
      <c r="I635" s="28">
        <f>(Fuentes!I2048/Fuentes!I$47)*100000</f>
        <v>0</v>
      </c>
      <c r="J635" s="28">
        <f>(Fuentes!J2048/Fuentes!J$47)*100000</f>
        <v>0</v>
      </c>
      <c r="K635" s="28">
        <f>(Fuentes!K2048/Fuentes!K$47)*100000</f>
        <v>0</v>
      </c>
      <c r="L635" s="28">
        <f>(Fuentes!L2048/Fuentes!L$47)*100000</f>
        <v>0</v>
      </c>
      <c r="M635" s="28">
        <f>(Fuentes!M2048/Fuentes!M$47)*100000</f>
        <v>0</v>
      </c>
      <c r="N635" s="28">
        <f>(Fuentes!N2048/Fuentes!N$47)*100000</f>
        <v>0</v>
      </c>
      <c r="O635" s="28">
        <f>(Fuentes!O2048/Fuentes!O$47)*100000</f>
        <v>0.85976187605199916</v>
      </c>
      <c r="P635" s="28">
        <f>(Fuentes!P2048/Fuentes!P$47)*100000</f>
        <v>2.185368470097794</v>
      </c>
      <c r="Q635" s="28">
        <f>(Fuentes!Q2048/Fuentes!Q$47)*100000</f>
        <v>2.597882013836236</v>
      </c>
      <c r="R635" s="28">
        <f>(Fuentes!R2048/Fuentes!R$47)*100000</f>
        <v>6.5808166710711227</v>
      </c>
      <c r="S635" s="28">
        <f>(Fuentes!S2048/Fuentes!S$47)*100000</f>
        <v>3.1490446943504504</v>
      </c>
      <c r="T635" s="28">
        <f>(Fuentes!T2048/Fuentes!T$47)*100000</f>
        <v>2.6275997825964366</v>
      </c>
      <c r="U635" s="28">
        <f>(Fuentes!U2048/Fuentes!U$47)*100000</f>
        <v>4.5968805568541189</v>
      </c>
      <c r="V635" s="28">
        <f>(Fuentes!V2048/Fuentes!V$47)*100000</f>
        <v>5.8916579461561778</v>
      </c>
    </row>
    <row r="636" spans="1:22" s="14" customFormat="1" ht="12.75" x14ac:dyDescent="0.2">
      <c r="A636" s="28" t="s">
        <v>3198</v>
      </c>
      <c r="B636" s="29" t="s">
        <v>3622</v>
      </c>
      <c r="C636" s="29">
        <f>(Fuentes!C2049/Fuentes!C$47)*100000</f>
        <v>0.619778847412772</v>
      </c>
      <c r="D636" s="30">
        <f>(Fuentes!D2049/Fuentes!D$47)*100000</f>
        <v>1.2394416644133281</v>
      </c>
      <c r="E636" s="35">
        <f>(Fuentes!E2049/Fuentes!E$47)*100000</f>
        <v>0.47235117271122856</v>
      </c>
      <c r="F636" s="28">
        <f>(Fuentes!F2049/Fuentes!F$47)*100000</f>
        <v>0.29365664930421725</v>
      </c>
      <c r="G636" s="28">
        <f>(Fuentes!G2049/Fuentes!G$47)*100000</f>
        <v>0.9152605975736442</v>
      </c>
      <c r="H636" s="28">
        <f>(Fuentes!H2049/Fuentes!H$47)*100000</f>
        <v>0.56936151799372181</v>
      </c>
      <c r="I636" s="28">
        <f>(Fuentes!I2049/Fuentes!I$47)*100000</f>
        <v>1.1452194333921679</v>
      </c>
      <c r="J636" s="28">
        <f>(Fuentes!J2049/Fuentes!J$47)*100000</f>
        <v>0.64510332020855277</v>
      </c>
      <c r="K636" s="28">
        <f>(Fuentes!K2049/Fuentes!K$47)*100000</f>
        <v>0.97636515148418856</v>
      </c>
      <c r="L636" s="28">
        <f>(Fuentes!L2049/Fuentes!L$47)*100000</f>
        <v>1.0292354324589978</v>
      </c>
      <c r="M636" s="28">
        <f>(Fuentes!M2049/Fuentes!M$47)*100000</f>
        <v>0.7278511584082028</v>
      </c>
      <c r="N636" s="36">
        <f>(Fuentes!N2049/Fuentes!N$47)*100000</f>
        <v>0.69684180406245699</v>
      </c>
      <c r="O636" s="28">
        <f>(Fuentes!O2049/Fuentes!O$47)*100000</f>
        <v>0.49436307872989954</v>
      </c>
      <c r="P636" s="28">
        <f>(Fuentes!P2049/Fuentes!P$47)*100000</f>
        <v>0.42434339225199885</v>
      </c>
      <c r="Q636" s="28">
        <f>(Fuentes!Q2049/Fuentes!Q$47)*100000</f>
        <v>0.10475330700952563</v>
      </c>
      <c r="R636" s="28">
        <f>(Fuentes!R2049/Fuentes!R$47)*100000</f>
        <v>0.62083176142180407</v>
      </c>
      <c r="S636" s="28">
        <f>(Fuentes!S2049/Fuentes!S$47)*100000</f>
        <v>0.34762181690881594</v>
      </c>
      <c r="T636" s="28">
        <f>(Fuentes!T2049/Fuentes!T$47)*100000</f>
        <v>0.5053076504993147</v>
      </c>
      <c r="U636" s="28">
        <f>(Fuentes!U2049/Fuentes!U$47)*100000</f>
        <v>0.39972874407427123</v>
      </c>
      <c r="V636" s="28">
        <f>(Fuentes!V2049/Fuentes!V$47)*100000</f>
        <v>0.33610129223038598</v>
      </c>
    </row>
    <row r="637" spans="1:22" s="14" customFormat="1" ht="12.75" x14ac:dyDescent="0.2">
      <c r="A637" s="28" t="s">
        <v>3198</v>
      </c>
      <c r="B637" s="29" t="s">
        <v>3623</v>
      </c>
      <c r="C637" s="29">
        <f>(Fuentes!C2050/Fuentes!C$47)*100000</f>
        <v>0</v>
      </c>
      <c r="D637" s="30">
        <f>(Fuentes!D2050/Fuentes!D$47)*100000</f>
        <v>0</v>
      </c>
      <c r="E637" s="35">
        <f>(Fuentes!E2050/Fuentes!E$47)*100000</f>
        <v>0</v>
      </c>
      <c r="F637" s="28">
        <f>(Fuentes!F2050/Fuentes!F$47)*100000</f>
        <v>0</v>
      </c>
      <c r="G637" s="28">
        <f>(Fuentes!G2050/Fuentes!G$47)*100000</f>
        <v>0</v>
      </c>
      <c r="H637" s="36">
        <f>(Fuentes!H2050/Fuentes!H$47)*100000</f>
        <v>0</v>
      </c>
      <c r="I637" s="28">
        <f>(Fuentes!I2050/Fuentes!I$47)*100000</f>
        <v>0</v>
      </c>
      <c r="J637" s="28">
        <f>(Fuentes!J2050/Fuentes!J$47)*100000</f>
        <v>0</v>
      </c>
      <c r="K637" s="28">
        <f>(Fuentes!K2050/Fuentes!K$47)*100000</f>
        <v>0</v>
      </c>
      <c r="L637" s="28">
        <f>(Fuentes!L2050/Fuentes!L$47)*100000</f>
        <v>2.237468331432604E-2</v>
      </c>
      <c r="M637" s="28">
        <f>(Fuentes!M2050/Fuentes!M$47)*100000</f>
        <v>0</v>
      </c>
      <c r="N637" s="28">
        <f>(Fuentes!N2050/Fuentes!N$47)*100000</f>
        <v>0</v>
      </c>
      <c r="O637" s="28">
        <f>(Fuentes!O2050/Fuentes!O$47)*100000</f>
        <v>0</v>
      </c>
      <c r="P637" s="28">
        <f>(Fuentes!P2050/Fuentes!P$47)*100000</f>
        <v>2.1217169612599944E-2</v>
      </c>
      <c r="Q637" s="28">
        <f>(Fuentes!Q2050/Fuentes!Q$47)*100000</f>
        <v>0</v>
      </c>
      <c r="R637" s="28">
        <f>(Fuentes!R2050/Fuentes!R$47)*100000</f>
        <v>0</v>
      </c>
      <c r="S637" s="28">
        <f>(Fuentes!S2050/Fuentes!S$47)*100000</f>
        <v>0</v>
      </c>
      <c r="T637" s="28">
        <f>(Fuentes!T2050/Fuentes!T$47)*100000</f>
        <v>0</v>
      </c>
      <c r="U637" s="28">
        <f>(Fuentes!U2050/Fuentes!U$47)*100000</f>
        <v>0</v>
      </c>
      <c r="V637" s="28">
        <f>(Fuentes!V2050/Fuentes!V$47)*100000</f>
        <v>0</v>
      </c>
    </row>
    <row r="638" spans="1:22" s="14" customFormat="1" ht="12.75" x14ac:dyDescent="0.2">
      <c r="A638" s="28" t="s">
        <v>3198</v>
      </c>
      <c r="B638" s="29" t="s">
        <v>3624</v>
      </c>
      <c r="C638" s="29">
        <f>(Fuentes!C2051/Fuentes!C$47)*100000</f>
        <v>0</v>
      </c>
      <c r="D638" s="30">
        <f>(Fuentes!D2051/Fuentes!D$47)*100000</f>
        <v>0</v>
      </c>
      <c r="E638" s="35">
        <f>(Fuentes!E2051/Fuentes!E$47)*100000</f>
        <v>0</v>
      </c>
      <c r="F638" s="28">
        <f>(Fuentes!F2051/Fuentes!F$47)*100000</f>
        <v>0</v>
      </c>
      <c r="G638" s="28">
        <f>(Fuentes!G2051/Fuentes!G$47)*100000</f>
        <v>0</v>
      </c>
      <c r="H638" s="28">
        <f>(Fuentes!H2051/Fuentes!H$47)*100000</f>
        <v>0</v>
      </c>
      <c r="I638" s="28">
        <f>(Fuentes!I2051/Fuentes!I$47)*100000</f>
        <v>0</v>
      </c>
      <c r="J638" s="28">
        <f>(Fuentes!J2051/Fuentes!J$47)*100000</f>
        <v>0</v>
      </c>
      <c r="K638" s="28">
        <f>(Fuentes!K2051/Fuentes!K$47)*100000</f>
        <v>2.2706166313585782E-2</v>
      </c>
      <c r="L638" s="28">
        <f>(Fuentes!L2051/Fuentes!L$47)*100000</f>
        <v>0</v>
      </c>
      <c r="M638" s="28">
        <f>(Fuentes!M2051/Fuentes!M$47)*100000</f>
        <v>0</v>
      </c>
      <c r="N638" s="36">
        <f>(Fuentes!N2051/Fuentes!N$47)*100000</f>
        <v>0</v>
      </c>
      <c r="O638" s="28">
        <f>(Fuentes!O2051/Fuentes!O$47)*100000</f>
        <v>0</v>
      </c>
      <c r="P638" s="28">
        <f>(Fuentes!P2051/Fuentes!P$47)*100000</f>
        <v>0</v>
      </c>
      <c r="Q638" s="28">
        <f>(Fuentes!Q2051/Fuentes!Q$47)*100000</f>
        <v>0</v>
      </c>
      <c r="R638" s="28">
        <f>(Fuentes!R2051/Fuentes!R$47)*100000</f>
        <v>0</v>
      </c>
      <c r="S638" s="28">
        <f>(Fuentes!S2051/Fuentes!S$47)*100000</f>
        <v>0</v>
      </c>
      <c r="T638" s="28">
        <f>(Fuentes!T2051/Fuentes!T$47)*100000</f>
        <v>0</v>
      </c>
      <c r="U638" s="28">
        <f>(Fuentes!U2051/Fuentes!U$47)*100000</f>
        <v>0</v>
      </c>
      <c r="V638" s="28">
        <f>(Fuentes!V2051/Fuentes!V$47)*100000</f>
        <v>0</v>
      </c>
    </row>
    <row r="639" spans="1:22" s="14" customFormat="1" ht="12.75" x14ac:dyDescent="0.2">
      <c r="A639" s="28" t="s">
        <v>3198</v>
      </c>
      <c r="B639" s="29" t="s">
        <v>3625</v>
      </c>
      <c r="C639" s="29">
        <f>(Fuentes!C2052/Fuentes!C$47)*100000</f>
        <v>0</v>
      </c>
      <c r="D639" s="30">
        <f>(Fuentes!D2052/Fuentes!D$47)*100000</f>
        <v>0</v>
      </c>
      <c r="E639" s="35">
        <f>(Fuentes!E2052/Fuentes!E$47)*100000</f>
        <v>0</v>
      </c>
      <c r="F639" s="28">
        <f>(Fuentes!F2052/Fuentes!F$47)*100000</f>
        <v>0</v>
      </c>
      <c r="G639" s="28">
        <f>(Fuentes!G2052/Fuentes!G$47)*100000</f>
        <v>0</v>
      </c>
      <c r="H639" s="36">
        <f>(Fuentes!H2052/Fuentes!H$47)*100000</f>
        <v>0</v>
      </c>
      <c r="I639" s="28">
        <f>(Fuentes!I2052/Fuentes!I$47)*100000</f>
        <v>0</v>
      </c>
      <c r="J639" s="28">
        <f>(Fuentes!J2052/Fuentes!J$47)*100000</f>
        <v>0</v>
      </c>
      <c r="K639" s="28">
        <f>(Fuentes!K2052/Fuentes!K$47)*100000</f>
        <v>0</v>
      </c>
      <c r="L639" s="28">
        <f>(Fuentes!L2052/Fuentes!L$47)*100000</f>
        <v>0</v>
      </c>
      <c r="M639" s="28">
        <f>(Fuentes!M2052/Fuentes!M$47)*100000</f>
        <v>2.2056095709339477E-2</v>
      </c>
      <c r="N639" s="28">
        <f>(Fuentes!N2052/Fuentes!N$47)*100000</f>
        <v>2.1776306376951781E-2</v>
      </c>
      <c r="O639" s="28">
        <f>(Fuentes!O2052/Fuentes!O$47)*100000</f>
        <v>6.4482140703899946E-2</v>
      </c>
      <c r="P639" s="28">
        <f>(Fuentes!P2052/Fuentes!P$47)*100000</f>
        <v>2.1217169612599944E-2</v>
      </c>
      <c r="Q639" s="28">
        <f>(Fuentes!Q2052/Fuentes!Q$47)*100000</f>
        <v>0</v>
      </c>
      <c r="R639" s="28">
        <f>(Fuentes!R2052/Fuentes!R$47)*100000</f>
        <v>6.2083176142180403E-2</v>
      </c>
      <c r="S639" s="28">
        <f>(Fuentes!S2052/Fuentes!S$47)*100000</f>
        <v>0.12269005302664091</v>
      </c>
      <c r="T639" s="28">
        <f>(Fuentes!T2052/Fuentes!T$47)*100000</f>
        <v>0.30318459029958883</v>
      </c>
      <c r="U639" s="28">
        <f>(Fuentes!U2052/Fuentes!U$47)*100000</f>
        <v>0.43970161848169836</v>
      </c>
      <c r="V639" s="28">
        <f>(Fuentes!V2052/Fuentes!V$47)*100000</f>
        <v>0</v>
      </c>
    </row>
    <row r="640" spans="1:22" s="14" customFormat="1" ht="12.75" x14ac:dyDescent="0.2">
      <c r="A640" s="28" t="s">
        <v>3198</v>
      </c>
      <c r="B640" s="29" t="s">
        <v>3626</v>
      </c>
      <c r="C640" s="29">
        <f>(Fuentes!C2053/Fuentes!C$47)*100000</f>
        <v>0</v>
      </c>
      <c r="D640" s="30">
        <f>(Fuentes!D2053/Fuentes!D$47)*100000</f>
        <v>0</v>
      </c>
      <c r="E640" s="35">
        <f>(Fuentes!E2053/Fuentes!E$47)*100000</f>
        <v>0</v>
      </c>
      <c r="F640" s="28">
        <f>(Fuentes!F2053/Fuentes!F$47)*100000</f>
        <v>0</v>
      </c>
      <c r="G640" s="28">
        <f>(Fuentes!G2053/Fuentes!G$47)*100000</f>
        <v>0</v>
      </c>
      <c r="H640" s="28">
        <f>(Fuentes!H2053/Fuentes!H$47)*100000</f>
        <v>0</v>
      </c>
      <c r="I640" s="28">
        <f>(Fuentes!I2053/Fuentes!I$47)*100000</f>
        <v>0</v>
      </c>
      <c r="J640" s="28">
        <f>(Fuentes!J2053/Fuentes!J$47)*100000</f>
        <v>0</v>
      </c>
      <c r="K640" s="28">
        <f>(Fuentes!K2053/Fuentes!K$47)*100000</f>
        <v>0</v>
      </c>
      <c r="L640" s="28">
        <f>(Fuentes!L2053/Fuentes!L$47)*100000</f>
        <v>0</v>
      </c>
      <c r="M640" s="28">
        <f>(Fuentes!M2053/Fuentes!M$47)*100000</f>
        <v>2.2056095709339477E-2</v>
      </c>
      <c r="N640" s="36">
        <f>(Fuentes!N2053/Fuentes!N$47)*100000</f>
        <v>0</v>
      </c>
      <c r="O640" s="28">
        <f>(Fuentes!O2053/Fuentes!O$47)*100000</f>
        <v>0</v>
      </c>
      <c r="P640" s="28">
        <f>(Fuentes!P2053/Fuentes!P$47)*100000</f>
        <v>0</v>
      </c>
      <c r="Q640" s="28">
        <f>(Fuentes!Q2053/Fuentes!Q$47)*100000</f>
        <v>2.095066140190513E-2</v>
      </c>
      <c r="R640" s="28">
        <f>(Fuentes!R2053/Fuentes!R$47)*100000</f>
        <v>0</v>
      </c>
      <c r="S640" s="28">
        <f>(Fuentes!S2053/Fuentes!S$47)*100000</f>
        <v>0</v>
      </c>
      <c r="T640" s="28">
        <f>(Fuentes!T2053/Fuentes!T$47)*100000</f>
        <v>0</v>
      </c>
      <c r="U640" s="28">
        <f>(Fuentes!U2053/Fuentes!U$47)*100000</f>
        <v>0</v>
      </c>
      <c r="V640" s="28">
        <f>(Fuentes!V2053/Fuentes!V$47)*100000</f>
        <v>0</v>
      </c>
    </row>
    <row r="641" spans="1:22" s="14" customFormat="1" ht="12.75" x14ac:dyDescent="0.2">
      <c r="A641" s="28" t="s">
        <v>3198</v>
      </c>
      <c r="B641" s="29" t="s">
        <v>3627</v>
      </c>
      <c r="C641" s="29">
        <f>(Fuentes!C2054/Fuentes!C$47)*100000</f>
        <v>0</v>
      </c>
      <c r="D641" s="30">
        <f>(Fuentes!D2054/Fuentes!D$47)*100000</f>
        <v>0</v>
      </c>
      <c r="E641" s="35">
        <f>(Fuentes!E2054/Fuentes!E$47)*100000</f>
        <v>0</v>
      </c>
      <c r="F641" s="28">
        <f>(Fuentes!F2054/Fuentes!F$47)*100000</f>
        <v>0</v>
      </c>
      <c r="G641" s="28">
        <f>(Fuentes!G2054/Fuentes!G$47)*100000</f>
        <v>0</v>
      </c>
      <c r="H641" s="36">
        <f>(Fuentes!H2054/Fuentes!H$47)*100000</f>
        <v>0</v>
      </c>
      <c r="I641" s="28">
        <f>(Fuentes!I2054/Fuentes!I$47)*100000</f>
        <v>0</v>
      </c>
      <c r="J641" s="28">
        <f>(Fuentes!J2054/Fuentes!J$47)*100000</f>
        <v>0</v>
      </c>
      <c r="K641" s="28">
        <f>(Fuentes!K2054/Fuentes!K$47)*100000</f>
        <v>0.15894316419510046</v>
      </c>
      <c r="L641" s="28">
        <f>(Fuentes!L2054/Fuentes!L$47)*100000</f>
        <v>0.1118734165716302</v>
      </c>
      <c r="M641" s="28">
        <f>(Fuentes!M2054/Fuentes!M$47)*100000</f>
        <v>0</v>
      </c>
      <c r="N641" s="28">
        <f>(Fuentes!N2054/Fuentes!N$47)*100000</f>
        <v>0</v>
      </c>
      <c r="O641" s="28">
        <f>(Fuentes!O2054/Fuentes!O$47)*100000</f>
        <v>2.1494046901299982E-2</v>
      </c>
      <c r="P641" s="28">
        <f>(Fuentes!P2054/Fuentes!P$47)*100000</f>
        <v>2.1217169612599944E-2</v>
      </c>
      <c r="Q641" s="28">
        <f>(Fuentes!Q2054/Fuentes!Q$47)*100000</f>
        <v>4.1901322803810259E-2</v>
      </c>
      <c r="R641" s="28">
        <f>(Fuentes!R2054/Fuentes!R$47)*100000</f>
        <v>4.138878409478694E-2</v>
      </c>
      <c r="S641" s="28">
        <f>(Fuentes!S2054/Fuentes!S$47)*100000</f>
        <v>4.0896684342213642E-2</v>
      </c>
      <c r="T641" s="28">
        <f>(Fuentes!T2054/Fuentes!T$47)*100000</f>
        <v>2.0212306019972589E-2</v>
      </c>
      <c r="U641" s="28">
        <f>(Fuentes!U2054/Fuentes!U$47)*100000</f>
        <v>0</v>
      </c>
      <c r="V641" s="28">
        <f>(Fuentes!V2054/Fuentes!V$47)*100000</f>
        <v>1.9770664248846232E-2</v>
      </c>
    </row>
    <row r="642" spans="1:22" s="14" customFormat="1" ht="12.75" x14ac:dyDescent="0.2">
      <c r="A642" s="28" t="s">
        <v>3198</v>
      </c>
      <c r="B642" s="29" t="s">
        <v>3628</v>
      </c>
      <c r="C642" s="29">
        <f>(Fuentes!C2055/Fuentes!C$47)*100000</f>
        <v>0</v>
      </c>
      <c r="D642" s="30">
        <f>(Fuentes!D2055/Fuentes!D$47)*100000</f>
        <v>0</v>
      </c>
      <c r="E642" s="35">
        <f>(Fuentes!E2055/Fuentes!E$47)*100000</f>
        <v>0</v>
      </c>
      <c r="F642" s="28">
        <f>(Fuentes!F2055/Fuentes!F$47)*100000</f>
        <v>0</v>
      </c>
      <c r="G642" s="28">
        <f>(Fuentes!G2055/Fuentes!G$47)*100000</f>
        <v>0</v>
      </c>
      <c r="H642" s="28">
        <f>(Fuentes!H2055/Fuentes!H$47)*100000</f>
        <v>0</v>
      </c>
      <c r="I642" s="28">
        <f>(Fuentes!I2055/Fuentes!I$47)*100000</f>
        <v>0</v>
      </c>
      <c r="J642" s="28">
        <f>(Fuentes!J2055/Fuentes!J$47)*100000</f>
        <v>0</v>
      </c>
      <c r="K642" s="28">
        <f>(Fuentes!K2055/Fuentes!K$47)*100000</f>
        <v>0</v>
      </c>
      <c r="L642" s="28">
        <f>(Fuentes!L2055/Fuentes!L$47)*100000</f>
        <v>0</v>
      </c>
      <c r="M642" s="28">
        <f>(Fuentes!M2055/Fuentes!M$47)*100000</f>
        <v>0</v>
      </c>
      <c r="N642" s="36">
        <f>(Fuentes!N2055/Fuentes!N$47)*100000</f>
        <v>0</v>
      </c>
      <c r="O642" s="28">
        <f>(Fuentes!O2055/Fuentes!O$47)*100000</f>
        <v>0</v>
      </c>
      <c r="P642" s="28">
        <f>(Fuentes!P2055/Fuentes!P$47)*100000</f>
        <v>0</v>
      </c>
      <c r="Q642" s="28">
        <f>(Fuentes!Q2055/Fuentes!Q$47)*100000</f>
        <v>2.095066140190513E-2</v>
      </c>
      <c r="R642" s="28">
        <f>(Fuentes!R2055/Fuentes!R$47)*100000</f>
        <v>0</v>
      </c>
      <c r="S642" s="28">
        <f>(Fuentes!S2055/Fuentes!S$47)*100000</f>
        <v>0</v>
      </c>
      <c r="T642" s="28">
        <f>(Fuentes!T2055/Fuentes!T$47)*100000</f>
        <v>0</v>
      </c>
      <c r="U642" s="28">
        <f>(Fuentes!U2055/Fuentes!U$47)*100000</f>
        <v>0</v>
      </c>
      <c r="V642" s="28">
        <f>(Fuentes!V2055/Fuentes!V$47)*100000</f>
        <v>0</v>
      </c>
    </row>
    <row r="643" spans="1:22" s="14" customFormat="1" ht="12.75" x14ac:dyDescent="0.2">
      <c r="A643" s="28" t="s">
        <v>3198</v>
      </c>
      <c r="B643" s="29" t="s">
        <v>3629</v>
      </c>
      <c r="C643" s="29">
        <f>(Fuentes!C2056/Fuentes!C$47)*100000</f>
        <v>0</v>
      </c>
      <c r="D643" s="30">
        <f>(Fuentes!D2056/Fuentes!D$47)*100000</f>
        <v>0</v>
      </c>
      <c r="E643" s="35">
        <f>(Fuentes!E2056/Fuentes!E$47)*100000</f>
        <v>0</v>
      </c>
      <c r="F643" s="28">
        <f>(Fuentes!F2056/Fuentes!F$47)*100000</f>
        <v>0</v>
      </c>
      <c r="G643" s="28">
        <f>(Fuentes!G2056/Fuentes!G$47)*100000</f>
        <v>0</v>
      </c>
      <c r="H643" s="36">
        <f>(Fuentes!H2056/Fuentes!H$47)*100000</f>
        <v>0</v>
      </c>
      <c r="I643" s="28">
        <f>(Fuentes!I2056/Fuentes!I$47)*100000</f>
        <v>0</v>
      </c>
      <c r="J643" s="28">
        <f>(Fuentes!J2056/Fuentes!J$47)*100000</f>
        <v>0</v>
      </c>
      <c r="K643" s="28">
        <f>(Fuentes!K2056/Fuentes!K$47)*100000</f>
        <v>4.5412332627171564E-2</v>
      </c>
      <c r="L643" s="28">
        <f>(Fuentes!L2056/Fuentes!L$47)*100000</f>
        <v>0</v>
      </c>
      <c r="M643" s="28">
        <f>(Fuentes!M2056/Fuentes!M$47)*100000</f>
        <v>0</v>
      </c>
      <c r="N643" s="28">
        <f>(Fuentes!N2056/Fuentes!N$47)*100000</f>
        <v>0</v>
      </c>
      <c r="O643" s="28">
        <f>(Fuentes!O2056/Fuentes!O$47)*100000</f>
        <v>2.1494046901299982E-2</v>
      </c>
      <c r="P643" s="28">
        <f>(Fuentes!P2056/Fuentes!P$47)*100000</f>
        <v>0</v>
      </c>
      <c r="Q643" s="28">
        <f>(Fuentes!Q2056/Fuentes!Q$47)*100000</f>
        <v>0</v>
      </c>
      <c r="R643" s="28">
        <f>(Fuentes!R2056/Fuentes!R$47)*100000</f>
        <v>0</v>
      </c>
      <c r="S643" s="28">
        <f>(Fuentes!S2056/Fuentes!S$47)*100000</f>
        <v>0</v>
      </c>
      <c r="T643" s="28">
        <f>(Fuentes!T2056/Fuentes!T$47)*100000</f>
        <v>0</v>
      </c>
      <c r="U643" s="28">
        <f>(Fuentes!U2056/Fuentes!U$47)*100000</f>
        <v>0</v>
      </c>
      <c r="V643" s="28">
        <f>(Fuentes!V2056/Fuentes!V$47)*100000</f>
        <v>1.9770664248846232E-2</v>
      </c>
    </row>
    <row r="644" spans="1:22" s="14" customFormat="1" ht="12.75" x14ac:dyDescent="0.2">
      <c r="A644" s="28" t="s">
        <v>3198</v>
      </c>
      <c r="B644" s="29" t="s">
        <v>3630</v>
      </c>
      <c r="C644" s="29">
        <f>(Fuentes!C2057/Fuentes!C$47)*100000</f>
        <v>0</v>
      </c>
      <c r="D644" s="30">
        <f>(Fuentes!D2057/Fuentes!D$47)*100000</f>
        <v>0</v>
      </c>
      <c r="E644" s="35">
        <f>(Fuentes!E2057/Fuentes!E$47)*100000</f>
        <v>0</v>
      </c>
      <c r="F644" s="28">
        <f>(Fuentes!F2057/Fuentes!F$47)*100000</f>
        <v>0</v>
      </c>
      <c r="G644" s="28">
        <f>(Fuentes!G2057/Fuentes!G$47)*100000</f>
        <v>0</v>
      </c>
      <c r="H644" s="28">
        <f>(Fuentes!H2057/Fuentes!H$47)*100000</f>
        <v>0</v>
      </c>
      <c r="I644" s="28">
        <f>(Fuentes!I2057/Fuentes!I$47)*100000</f>
        <v>0</v>
      </c>
      <c r="J644" s="28">
        <f>(Fuentes!J2057/Fuentes!J$47)*100000</f>
        <v>0</v>
      </c>
      <c r="K644" s="28">
        <f>(Fuentes!K2057/Fuentes!K$47)*100000</f>
        <v>0</v>
      </c>
      <c r="L644" s="28">
        <f>(Fuentes!L2057/Fuentes!L$47)*100000</f>
        <v>0</v>
      </c>
      <c r="M644" s="28">
        <f>(Fuentes!M2057/Fuentes!M$47)*100000</f>
        <v>0</v>
      </c>
      <c r="N644" s="36">
        <f>(Fuentes!N2057/Fuentes!N$47)*100000</f>
        <v>0</v>
      </c>
      <c r="O644" s="28">
        <f>(Fuentes!O2057/Fuentes!O$47)*100000</f>
        <v>0.17195237521039985</v>
      </c>
      <c r="P644" s="28">
        <f>(Fuentes!P2057/Fuentes!P$47)*100000</f>
        <v>4.2434339225199888E-2</v>
      </c>
      <c r="Q644" s="28">
        <f>(Fuentes!Q2057/Fuentes!Q$47)*100000</f>
        <v>2.095066140190513E-2</v>
      </c>
      <c r="R644" s="28">
        <f>(Fuentes!R2057/Fuentes!R$47)*100000</f>
        <v>0</v>
      </c>
      <c r="S644" s="28">
        <f>(Fuentes!S2057/Fuentes!S$47)*100000</f>
        <v>4.0896684342213642E-2</v>
      </c>
      <c r="T644" s="28">
        <f>(Fuentes!T2057/Fuentes!T$47)*100000</f>
        <v>0</v>
      </c>
      <c r="U644" s="28">
        <f>(Fuentes!U2057/Fuentes!U$47)*100000</f>
        <v>0</v>
      </c>
      <c r="V644" s="28">
        <f>(Fuentes!V2057/Fuentes!V$47)*100000</f>
        <v>0</v>
      </c>
    </row>
    <row r="645" spans="1:22" s="14" customFormat="1" ht="12.75" x14ac:dyDescent="0.2">
      <c r="A645" s="28" t="s">
        <v>3198</v>
      </c>
      <c r="B645" s="29" t="s">
        <v>3631</v>
      </c>
      <c r="C645" s="29">
        <f>(Fuentes!C2058/Fuentes!C$47)*100000</f>
        <v>0</v>
      </c>
      <c r="D645" s="30">
        <f>(Fuentes!D2058/Fuentes!D$47)*100000</f>
        <v>0</v>
      </c>
      <c r="E645" s="35">
        <f>(Fuentes!E2058/Fuentes!E$47)*100000</f>
        <v>0</v>
      </c>
      <c r="F645" s="28">
        <f>(Fuentes!F2058/Fuentes!F$47)*100000</f>
        <v>0</v>
      </c>
      <c r="G645" s="28">
        <f>(Fuentes!G2058/Fuentes!G$47)*100000</f>
        <v>0.9875180131715634</v>
      </c>
      <c r="H645" s="36">
        <f>(Fuentes!H2058/Fuentes!H$47)*100000</f>
        <v>0.9014890701567263</v>
      </c>
      <c r="I645" s="28">
        <f>(Fuentes!I2058/Fuentes!I$47)*100000</f>
        <v>2.8981063212373233</v>
      </c>
      <c r="J645" s="28">
        <f>(Fuentes!J2058/Fuentes!J$47)*100000</f>
        <v>2.3960980464889099</v>
      </c>
      <c r="K645" s="28">
        <f>(Fuentes!K2058/Fuentes!K$47)*100000</f>
        <v>3.6329866101737247</v>
      </c>
      <c r="L645" s="28">
        <f>(Fuentes!L2058/Fuentes!L$47)*100000</f>
        <v>2.9758328808053633</v>
      </c>
      <c r="M645" s="28">
        <f>(Fuentes!M2058/Fuentes!M$47)*100000</f>
        <v>2.6908436765394161</v>
      </c>
      <c r="N645" s="28">
        <f>(Fuentes!N2058/Fuentes!N$47)*100000</f>
        <v>2.5042752333494551</v>
      </c>
      <c r="O645" s="28">
        <f>(Fuentes!O2058/Fuentes!O$47)*100000</f>
        <v>1.8054999397091982</v>
      </c>
      <c r="P645" s="28">
        <f>(Fuentes!P2058/Fuentes!P$47)*100000</f>
        <v>1.3578988552063964</v>
      </c>
      <c r="Q645" s="28">
        <f>(Fuentes!Q2058/Fuentes!Q$47)*100000</f>
        <v>1.9693621717790819</v>
      </c>
      <c r="R645" s="28">
        <f>(Fuentes!R2058/Fuentes!R$47)*100000</f>
        <v>0.64152615346919761</v>
      </c>
      <c r="S645" s="28">
        <f>(Fuentes!S2058/Fuentes!S$47)*100000</f>
        <v>0.36807015907992274</v>
      </c>
      <c r="T645" s="28">
        <f>(Fuentes!T2058/Fuentes!T$47)*100000</f>
        <v>1.6574090936377521</v>
      </c>
      <c r="U645" s="28">
        <f>(Fuentes!U2058/Fuentes!U$47)*100000</f>
        <v>1.9986437203713559E-2</v>
      </c>
      <c r="V645" s="28">
        <f>(Fuentes!V2058/Fuentes!V$47)*100000</f>
        <v>9.8853321244231157E-2</v>
      </c>
    </row>
    <row r="646" spans="1:22" s="14" customFormat="1" ht="12.75" x14ac:dyDescent="0.2">
      <c r="A646" s="28" t="s">
        <v>3198</v>
      </c>
      <c r="B646" s="29" t="s">
        <v>3632</v>
      </c>
      <c r="C646" s="29">
        <f>(Fuentes!C2059/Fuentes!C$47)*100000</f>
        <v>0</v>
      </c>
      <c r="D646" s="30">
        <f>(Fuentes!D2059/Fuentes!D$47)*100000</f>
        <v>0</v>
      </c>
      <c r="E646" s="35">
        <f>(Fuentes!E2059/Fuentes!E$47)*100000</f>
        <v>0</v>
      </c>
      <c r="F646" s="28">
        <f>(Fuentes!F2059/Fuentes!F$47)*100000</f>
        <v>0</v>
      </c>
      <c r="G646" s="28">
        <f>(Fuentes!G2059/Fuentes!G$47)*100000</f>
        <v>0</v>
      </c>
      <c r="H646" s="28">
        <f>(Fuentes!H2059/Fuentes!H$47)*100000</f>
        <v>0</v>
      </c>
      <c r="I646" s="28">
        <f>(Fuentes!I2059/Fuentes!I$47)*100000</f>
        <v>0</v>
      </c>
      <c r="J646" s="28">
        <f>(Fuentes!J2059/Fuentes!J$47)*100000</f>
        <v>0</v>
      </c>
      <c r="K646" s="28">
        <f>(Fuentes!K2059/Fuentes!K$47)*100000</f>
        <v>0</v>
      </c>
      <c r="L646" s="28">
        <f>(Fuentes!L2059/Fuentes!L$47)*100000</f>
        <v>0</v>
      </c>
      <c r="M646" s="28">
        <f>(Fuentes!M2059/Fuentes!M$47)*100000</f>
        <v>0</v>
      </c>
      <c r="N646" s="36">
        <f>(Fuentes!N2059/Fuentes!N$47)*100000</f>
        <v>0</v>
      </c>
      <c r="O646" s="28">
        <f>(Fuentes!O2059/Fuentes!O$47)*100000</f>
        <v>0</v>
      </c>
      <c r="P646" s="28">
        <f>(Fuentes!P2059/Fuentes!P$47)*100000</f>
        <v>0</v>
      </c>
      <c r="Q646" s="28">
        <f>(Fuentes!Q2059/Fuentes!Q$47)*100000</f>
        <v>0</v>
      </c>
      <c r="R646" s="28">
        <f>(Fuentes!R2059/Fuentes!R$47)*100000</f>
        <v>0.33111027275829552</v>
      </c>
      <c r="S646" s="28">
        <f>(Fuentes!S2059/Fuentes!S$47)*100000</f>
        <v>0</v>
      </c>
      <c r="T646" s="28">
        <f>(Fuentes!T2059/Fuentes!T$47)*100000</f>
        <v>0</v>
      </c>
      <c r="U646" s="28">
        <f>(Fuentes!U2059/Fuentes!U$47)*100000</f>
        <v>4.6568398684652594</v>
      </c>
      <c r="V646" s="28">
        <f>(Fuentes!V2059/Fuentes!V$47)*100000</f>
        <v>0.79082656995384926</v>
      </c>
    </row>
    <row r="647" spans="1:22" s="14" customFormat="1" ht="12.75" x14ac:dyDescent="0.2">
      <c r="A647" s="28" t="s">
        <v>3198</v>
      </c>
      <c r="B647" s="29" t="s">
        <v>3633</v>
      </c>
      <c r="C647" s="29">
        <f>(Fuentes!C2060/Fuentes!C$47)*100000</f>
        <v>0</v>
      </c>
      <c r="D647" s="30">
        <f>(Fuentes!D2060/Fuentes!D$47)*100000</f>
        <v>0</v>
      </c>
      <c r="E647" s="35">
        <f>(Fuentes!E2060/Fuentes!E$47)*100000</f>
        <v>0</v>
      </c>
      <c r="F647" s="28">
        <f>(Fuentes!F2060/Fuentes!F$47)*100000</f>
        <v>0</v>
      </c>
      <c r="G647" s="28">
        <f>(Fuentes!G2060/Fuentes!G$47)*100000</f>
        <v>0</v>
      </c>
      <c r="H647" s="36">
        <f>(Fuentes!H2060/Fuentes!H$47)*100000</f>
        <v>0</v>
      </c>
      <c r="I647" s="28">
        <f>(Fuentes!I2060/Fuentes!I$47)*100000</f>
        <v>0</v>
      </c>
      <c r="J647" s="28">
        <f>(Fuentes!J2060/Fuentes!J$47)*100000</f>
        <v>0</v>
      </c>
      <c r="K647" s="28">
        <f>(Fuentes!K2060/Fuentes!K$47)*100000</f>
        <v>0</v>
      </c>
      <c r="L647" s="28">
        <f>(Fuentes!L2060/Fuentes!L$47)*100000</f>
        <v>0</v>
      </c>
      <c r="M647" s="28">
        <f>(Fuentes!M2060/Fuentes!M$47)*100000</f>
        <v>0</v>
      </c>
      <c r="N647" s="28">
        <f>(Fuentes!N2060/Fuentes!N$47)*100000</f>
        <v>0</v>
      </c>
      <c r="O647" s="28">
        <f>(Fuentes!O2060/Fuentes!O$47)*100000</f>
        <v>0</v>
      </c>
      <c r="P647" s="28">
        <f>(Fuentes!P2060/Fuentes!P$47)*100000</f>
        <v>0</v>
      </c>
      <c r="Q647" s="28">
        <f>(Fuentes!Q2060/Fuentes!Q$47)*100000</f>
        <v>6.2851984205715389E-2</v>
      </c>
      <c r="R647" s="28">
        <f>(Fuentes!R2060/Fuentes!R$47)*100000</f>
        <v>2.069439204739347E-2</v>
      </c>
      <c r="S647" s="28">
        <f>(Fuentes!S2060/Fuentes!S$47)*100000</f>
        <v>0.28627679039549547</v>
      </c>
      <c r="T647" s="28">
        <f>(Fuentes!T2060/Fuentes!T$47)*100000</f>
        <v>2.0212306019972589E-2</v>
      </c>
      <c r="U647" s="28">
        <f>(Fuentes!U2060/Fuentes!U$47)*100000</f>
        <v>5.9959311611140681E-2</v>
      </c>
      <c r="V647" s="28">
        <f>(Fuentes!V2060/Fuentes!V$47)*100000</f>
        <v>0</v>
      </c>
    </row>
    <row r="648" spans="1:22" s="14" customFormat="1" ht="12.75" x14ac:dyDescent="0.2">
      <c r="A648" s="28" t="s">
        <v>3198</v>
      </c>
      <c r="B648" s="29" t="s">
        <v>3634</v>
      </c>
      <c r="C648" s="29">
        <f>(Fuentes!C2061/Fuentes!C$47)*100000</f>
        <v>0</v>
      </c>
      <c r="D648" s="30">
        <f>(Fuentes!D2061/Fuentes!D$47)*100000</f>
        <v>0</v>
      </c>
      <c r="E648" s="35">
        <f>(Fuentes!E2061/Fuentes!E$47)*100000</f>
        <v>0</v>
      </c>
      <c r="F648" s="28">
        <f>(Fuentes!F2061/Fuentes!F$47)*100000</f>
        <v>0</v>
      </c>
      <c r="G648" s="28">
        <f>(Fuentes!G2061/Fuentes!G$47)*100000</f>
        <v>0</v>
      </c>
      <c r="H648" s="28">
        <f>(Fuentes!H2061/Fuentes!H$47)*100000</f>
        <v>0</v>
      </c>
      <c r="I648" s="28">
        <f>(Fuentes!I2061/Fuentes!I$47)*100000</f>
        <v>0</v>
      </c>
      <c r="J648" s="28">
        <f>(Fuentes!J2061/Fuentes!J$47)*100000</f>
        <v>0</v>
      </c>
      <c r="K648" s="28">
        <f>(Fuentes!K2061/Fuentes!K$47)*100000</f>
        <v>0</v>
      </c>
      <c r="L648" s="28">
        <f>(Fuentes!L2061/Fuentes!L$47)*100000</f>
        <v>0.33562024971489063</v>
      </c>
      <c r="M648" s="28">
        <f>(Fuentes!M2061/Fuentes!M$47)*100000</f>
        <v>0.30878533993075269</v>
      </c>
      <c r="N648" s="36">
        <f>(Fuentes!N2061/Fuentes!N$47)*100000</f>
        <v>0.39197351478513209</v>
      </c>
      <c r="O648" s="28">
        <f>(Fuentes!O2061/Fuentes!O$47)*100000</f>
        <v>0.36539879732209968</v>
      </c>
      <c r="P648" s="28">
        <f>(Fuentes!P2061/Fuentes!P$47)*100000</f>
        <v>0.53042924031499861</v>
      </c>
      <c r="Q648" s="28">
        <f>(Fuentes!Q2061/Fuentes!Q$47)*100000</f>
        <v>1.0475330700952563</v>
      </c>
      <c r="R648" s="28">
        <f>(Fuentes!R2061/Fuentes!R$47)*100000</f>
        <v>1.5934681876492969</v>
      </c>
      <c r="S648" s="28">
        <f>(Fuentes!S2061/Fuentes!S$47)*100000</f>
        <v>1.5336256628330114</v>
      </c>
      <c r="T648" s="28">
        <f>(Fuentes!T2061/Fuentes!T$47)*100000</f>
        <v>1.4552860334380264</v>
      </c>
      <c r="U648" s="28">
        <f>(Fuentes!U2061/Fuentes!U$47)*100000</f>
        <v>2.398372464445627</v>
      </c>
      <c r="V648" s="28">
        <f>(Fuentes!V2061/Fuentes!V$47)*100000</f>
        <v>0.86990922694923423</v>
      </c>
    </row>
    <row r="649" spans="1:22" s="14" customFormat="1" ht="12.75" x14ac:dyDescent="0.2">
      <c r="A649" s="28" t="s">
        <v>3198</v>
      </c>
      <c r="B649" s="29" t="s">
        <v>3635</v>
      </c>
      <c r="C649" s="29">
        <f>(Fuentes!C2062/Fuentes!C$47)*100000</f>
        <v>2.5824118642198829E-2</v>
      </c>
      <c r="D649" s="30">
        <f>(Fuentes!D2062/Fuentes!D$47)*100000</f>
        <v>0.10117891138067985</v>
      </c>
      <c r="E649" s="35">
        <f>(Fuentes!E2062/Fuentes!E$47)*100000</f>
        <v>7.4581764112299248E-2</v>
      </c>
      <c r="F649" s="28">
        <f>(Fuentes!F2062/Fuentes!F$47)*100000</f>
        <v>0.19577109953614485</v>
      </c>
      <c r="G649" s="28">
        <f>(Fuentes!G2062/Fuentes!G$47)*100000</f>
        <v>7.2257415597919275E-2</v>
      </c>
      <c r="H649" s="36">
        <f>(Fuentes!H2062/Fuentes!H$47)*100000</f>
        <v>2.3723396583071741E-2</v>
      </c>
      <c r="I649" s="28">
        <f>(Fuentes!I2062/Fuentes!I$47)*100000</f>
        <v>2.3371825171268734E-2</v>
      </c>
      <c r="J649" s="28">
        <f>(Fuentes!J2062/Fuentes!J$47)*100000</f>
        <v>9.2157617172650377E-2</v>
      </c>
      <c r="K649" s="28">
        <f>(Fuentes!K2062/Fuentes!K$47)*100000</f>
        <v>0.24976782944944356</v>
      </c>
      <c r="L649" s="28">
        <f>(Fuentes!L2062/Fuentes!L$47)*100000</f>
        <v>2.237468331432604E-2</v>
      </c>
      <c r="M649" s="28">
        <f>(Fuentes!M2062/Fuentes!M$47)*100000</f>
        <v>0.13233657425603684</v>
      </c>
      <c r="N649" s="28">
        <f>(Fuentes!N2062/Fuentes!N$47)*100000</f>
        <v>0.67506549768550528</v>
      </c>
      <c r="O649" s="28">
        <f>(Fuentes!O2062/Fuentes!O$47)*100000</f>
        <v>0.32241070351949969</v>
      </c>
      <c r="P649" s="28">
        <f>(Fuentes!P2062/Fuentes!P$47)*100000</f>
        <v>0.2970403745763992</v>
      </c>
      <c r="Q649" s="28">
        <f>(Fuentes!Q2062/Fuentes!Q$47)*100000</f>
        <v>0.14665462981333588</v>
      </c>
      <c r="R649" s="28">
        <f>(Fuentes!R2062/Fuentes!R$47)*100000</f>
        <v>8.277756818957388E-2</v>
      </c>
      <c r="S649" s="28">
        <f>(Fuentes!S2062/Fuentes!S$47)*100000</f>
        <v>0.1022417108555341</v>
      </c>
      <c r="T649" s="28">
        <f>(Fuentes!T2062/Fuentes!T$47)*100000</f>
        <v>0.12127383611983551</v>
      </c>
      <c r="U649" s="28">
        <f>(Fuentes!U2062/Fuentes!U$47)*100000</f>
        <v>0.1399050604259949</v>
      </c>
      <c r="V649" s="28">
        <f>(Fuentes!V2062/Fuentes!V$47)*100000</f>
        <v>3.9541328497692464E-2</v>
      </c>
    </row>
    <row r="650" spans="1:22" s="14" customFormat="1" ht="12.75" x14ac:dyDescent="0.2">
      <c r="A650" s="28" t="s">
        <v>3198</v>
      </c>
      <c r="B650" s="29" t="s">
        <v>3636</v>
      </c>
      <c r="C650" s="29">
        <f>(Fuentes!C2063/Fuentes!C$47)*100000</f>
        <v>0</v>
      </c>
      <c r="D650" s="30">
        <f>(Fuentes!D2063/Fuentes!D$47)*100000</f>
        <v>0</v>
      </c>
      <c r="E650" s="35">
        <f>(Fuentes!E2063/Fuentes!E$47)*100000</f>
        <v>0</v>
      </c>
      <c r="F650" s="28">
        <f>(Fuentes!F2063/Fuentes!F$47)*100000</f>
        <v>0</v>
      </c>
      <c r="G650" s="28">
        <f>(Fuentes!G2063/Fuentes!G$47)*100000</f>
        <v>0</v>
      </c>
      <c r="H650" s="28">
        <f>(Fuentes!H2063/Fuentes!H$47)*100000</f>
        <v>0</v>
      </c>
      <c r="I650" s="28">
        <f>(Fuentes!I2063/Fuentes!I$47)*100000</f>
        <v>0</v>
      </c>
      <c r="J650" s="28">
        <f>(Fuentes!J2063/Fuentes!J$47)*100000</f>
        <v>0</v>
      </c>
      <c r="K650" s="28">
        <f>(Fuentes!K2063/Fuentes!K$47)*100000</f>
        <v>0</v>
      </c>
      <c r="L650" s="28">
        <f>(Fuentes!L2063/Fuentes!L$47)*100000</f>
        <v>0</v>
      </c>
      <c r="M650" s="28">
        <f>(Fuentes!M2063/Fuentes!M$47)*100000</f>
        <v>0</v>
      </c>
      <c r="N650" s="36">
        <f>(Fuentes!N2063/Fuentes!N$47)*100000</f>
        <v>0</v>
      </c>
      <c r="O650" s="28">
        <f>(Fuentes!O2063/Fuentes!O$47)*100000</f>
        <v>0</v>
      </c>
      <c r="P650" s="28">
        <f>(Fuentes!P2063/Fuentes!P$47)*100000</f>
        <v>0</v>
      </c>
      <c r="Q650" s="28">
        <f>(Fuentes!Q2063/Fuentes!Q$47)*100000</f>
        <v>2.095066140190513E-2</v>
      </c>
      <c r="R650" s="28">
        <f>(Fuentes!R2063/Fuentes!R$47)*100000</f>
        <v>2.069439204739347E-2</v>
      </c>
      <c r="S650" s="28">
        <f>(Fuentes!S2063/Fuentes!S$47)*100000</f>
        <v>2.0448342171106821E-2</v>
      </c>
      <c r="T650" s="28">
        <f>(Fuentes!T2063/Fuentes!T$47)*100000</f>
        <v>2.0212306019972589E-2</v>
      </c>
      <c r="U650" s="28">
        <f>(Fuentes!U2063/Fuentes!U$47)*100000</f>
        <v>3.9972874407427118E-2</v>
      </c>
      <c r="V650" s="28">
        <f>(Fuentes!V2063/Fuentes!V$47)*100000</f>
        <v>7.9082656995384928E-2</v>
      </c>
    </row>
    <row r="651" spans="1:22" s="14" customFormat="1" ht="12.75" x14ac:dyDescent="0.2">
      <c r="A651" s="28" t="s">
        <v>3198</v>
      </c>
      <c r="B651" s="29" t="s">
        <v>3637</v>
      </c>
      <c r="C651" s="29">
        <f>(Fuentes!C2064/Fuentes!C$47)*100000</f>
        <v>2.4016430337244912</v>
      </c>
      <c r="D651" s="30">
        <f>(Fuentes!D2064/Fuentes!D$47)*100000</f>
        <v>2.5041780566718259</v>
      </c>
      <c r="E651" s="35">
        <f>(Fuentes!E2064/Fuentes!E$47)*100000</f>
        <v>3.4307611491657659</v>
      </c>
      <c r="F651" s="28">
        <f>(Fuentes!F2064/Fuentes!F$47)*100000</f>
        <v>2.2513676446656659</v>
      </c>
      <c r="G651" s="28">
        <f>(Fuentes!G2064/Fuentes!G$47)*100000</f>
        <v>2.5290095459271749</v>
      </c>
      <c r="H651" s="36">
        <f>(Fuentes!H2064/Fuentes!H$47)*100000</f>
        <v>1.7318079505642372</v>
      </c>
      <c r="I651" s="28">
        <f>(Fuentes!I2064/Fuentes!I$47)*100000</f>
        <v>1.0517321327070932</v>
      </c>
      <c r="J651" s="28">
        <f>(Fuentes!J2064/Fuentes!J$47)*100000</f>
        <v>2.0505069820914712</v>
      </c>
      <c r="K651" s="28">
        <f>(Fuentes!K2064/Fuentes!K$47)*100000</f>
        <v>0.88554048622984538</v>
      </c>
      <c r="L651" s="28">
        <f>(Fuentes!L2064/Fuentes!L$47)*100000</f>
        <v>0.76073923268708532</v>
      </c>
      <c r="M651" s="28">
        <f>(Fuentes!M2064/Fuentes!M$47)*100000</f>
        <v>0.48523410560546854</v>
      </c>
      <c r="N651" s="28">
        <f>(Fuentes!N2064/Fuentes!N$47)*100000</f>
        <v>0.65328919130855345</v>
      </c>
      <c r="O651" s="28">
        <f>(Fuentes!O2064/Fuentes!O$47)*100000</f>
        <v>0.68780950084159942</v>
      </c>
      <c r="P651" s="28">
        <f>(Fuentes!P2064/Fuentes!P$47)*100000</f>
        <v>1.2942473463685966</v>
      </c>
      <c r="Q651" s="28">
        <f>(Fuentes!Q2064/Fuentes!Q$47)*100000</f>
        <v>0.71232248766477435</v>
      </c>
      <c r="R651" s="28">
        <f>(Fuentes!R2064/Fuentes!R$47)*100000</f>
        <v>0.76569250575355829</v>
      </c>
      <c r="S651" s="28">
        <f>(Fuentes!S2064/Fuentes!S$47)*100000</f>
        <v>0.28627679039549547</v>
      </c>
      <c r="T651" s="28">
        <f>(Fuentes!T2064/Fuentes!T$47)*100000</f>
        <v>0.14148614213980812</v>
      </c>
      <c r="U651" s="28">
        <f>(Fuentes!U2064/Fuentes!U$47)*100000</f>
        <v>5.9959311611140681E-2</v>
      </c>
      <c r="V651" s="28">
        <f>(Fuentes!V2064/Fuentes!V$47)*100000</f>
        <v>7.9082656995384928E-2</v>
      </c>
    </row>
    <row r="652" spans="1:22" s="14" customFormat="1" ht="12.75" x14ac:dyDescent="0.2">
      <c r="A652" s="28" t="s">
        <v>3198</v>
      </c>
      <c r="B652" s="29" t="s">
        <v>3638</v>
      </c>
      <c r="C652" s="29">
        <f>(Fuentes!C2065/Fuentes!C$47)*100000</f>
        <v>0</v>
      </c>
      <c r="D652" s="30">
        <f>(Fuentes!D2065/Fuentes!D$47)*100000</f>
        <v>0</v>
      </c>
      <c r="E652" s="35">
        <f>(Fuentes!E2065/Fuentes!E$47)*100000</f>
        <v>0</v>
      </c>
      <c r="F652" s="28">
        <f>(Fuentes!F2065/Fuentes!F$47)*100000</f>
        <v>0</v>
      </c>
      <c r="G652" s="28">
        <f>(Fuentes!G2065/Fuentes!G$47)*100000</f>
        <v>0</v>
      </c>
      <c r="H652" s="28">
        <f>(Fuentes!H2065/Fuentes!H$47)*100000</f>
        <v>0</v>
      </c>
      <c r="I652" s="28">
        <f>(Fuentes!I2065/Fuentes!I$47)*100000</f>
        <v>0</v>
      </c>
      <c r="J652" s="28">
        <f>(Fuentes!J2065/Fuentes!J$47)*100000</f>
        <v>0</v>
      </c>
      <c r="K652" s="28">
        <f>(Fuentes!K2065/Fuentes!K$47)*100000</f>
        <v>0</v>
      </c>
      <c r="L652" s="28">
        <f>(Fuentes!L2065/Fuentes!L$47)*100000</f>
        <v>2.237468331432604E-2</v>
      </c>
      <c r="M652" s="28">
        <f>(Fuentes!M2065/Fuentes!M$47)*100000</f>
        <v>0</v>
      </c>
      <c r="N652" s="36">
        <f>(Fuentes!N2065/Fuentes!N$47)*100000</f>
        <v>0</v>
      </c>
      <c r="O652" s="28">
        <f>(Fuentes!O2065/Fuentes!O$47)*100000</f>
        <v>0</v>
      </c>
      <c r="P652" s="28">
        <f>(Fuentes!P2065/Fuentes!P$47)*100000</f>
        <v>0</v>
      </c>
      <c r="Q652" s="28">
        <f>(Fuentes!Q2065/Fuentes!Q$47)*100000</f>
        <v>2.095066140190513E-2</v>
      </c>
      <c r="R652" s="28">
        <f>(Fuentes!R2065/Fuentes!R$47)*100000</f>
        <v>6.2083176142180403E-2</v>
      </c>
      <c r="S652" s="28">
        <f>(Fuentes!S2065/Fuentes!S$47)*100000</f>
        <v>2.0448342171106821E-2</v>
      </c>
      <c r="T652" s="28">
        <f>(Fuentes!T2065/Fuentes!T$47)*100000</f>
        <v>2.0212306019972589E-2</v>
      </c>
      <c r="U652" s="28">
        <f>(Fuentes!U2065/Fuentes!U$47)*100000</f>
        <v>1.9986437203713559E-2</v>
      </c>
      <c r="V652" s="28">
        <f>(Fuentes!V2065/Fuentes!V$47)*100000</f>
        <v>5.9311992746538693E-2</v>
      </c>
    </row>
    <row r="653" spans="1:22" s="14" customFormat="1" ht="12.75" x14ac:dyDescent="0.2">
      <c r="A653" s="28" t="s">
        <v>3198</v>
      </c>
      <c r="B653" s="29" t="s">
        <v>3639</v>
      </c>
      <c r="C653" s="29">
        <f>(Fuentes!C2066/Fuentes!C$47)*100000</f>
        <v>0</v>
      </c>
      <c r="D653" s="30">
        <f>(Fuentes!D2066/Fuentes!D$47)*100000</f>
        <v>0</v>
      </c>
      <c r="E653" s="35">
        <f>(Fuentes!E2066/Fuentes!E$47)*100000</f>
        <v>0</v>
      </c>
      <c r="F653" s="28">
        <f>(Fuentes!F2066/Fuentes!F$47)*100000</f>
        <v>0</v>
      </c>
      <c r="G653" s="28">
        <f>(Fuentes!G2066/Fuentes!G$47)*100000</f>
        <v>0</v>
      </c>
      <c r="H653" s="36">
        <f>(Fuentes!H2066/Fuentes!H$47)*100000</f>
        <v>0</v>
      </c>
      <c r="I653" s="28">
        <f>(Fuentes!I2066/Fuentes!I$47)*100000</f>
        <v>0</v>
      </c>
      <c r="J653" s="28">
        <f>(Fuentes!J2066/Fuentes!J$47)*100000</f>
        <v>0</v>
      </c>
      <c r="K653" s="28">
        <f>(Fuentes!K2066/Fuentes!K$47)*100000</f>
        <v>0</v>
      </c>
      <c r="L653" s="28">
        <f>(Fuentes!L2066/Fuentes!L$47)*100000</f>
        <v>2.237468331432604E-2</v>
      </c>
      <c r="M653" s="28">
        <f>(Fuentes!M2066/Fuentes!M$47)*100000</f>
        <v>0</v>
      </c>
      <c r="N653" s="28">
        <f>(Fuentes!N2066/Fuentes!N$47)*100000</f>
        <v>0</v>
      </c>
      <c r="O653" s="28">
        <f>(Fuentes!O2066/Fuentes!O$47)*100000</f>
        <v>0</v>
      </c>
      <c r="P653" s="28">
        <f>(Fuentes!P2066/Fuentes!P$47)*100000</f>
        <v>0</v>
      </c>
      <c r="Q653" s="28">
        <f>(Fuentes!Q2066/Fuentes!Q$47)*100000</f>
        <v>0</v>
      </c>
      <c r="R653" s="28">
        <f>(Fuentes!R2066/Fuentes!R$47)*100000</f>
        <v>0</v>
      </c>
      <c r="S653" s="28">
        <f>(Fuentes!S2066/Fuentes!S$47)*100000</f>
        <v>0</v>
      </c>
      <c r="T653" s="28">
        <f>(Fuentes!T2066/Fuentes!T$47)*100000</f>
        <v>0</v>
      </c>
      <c r="U653" s="28">
        <f>(Fuentes!U2066/Fuentes!U$47)*100000</f>
        <v>0</v>
      </c>
      <c r="V653" s="28">
        <f>(Fuentes!V2066/Fuentes!V$47)*100000</f>
        <v>0</v>
      </c>
    </row>
    <row r="654" spans="1:22" s="14" customFormat="1" ht="12.75" x14ac:dyDescent="0.2">
      <c r="A654" s="28" t="s">
        <v>3198</v>
      </c>
      <c r="B654" s="29" t="s">
        <v>3640</v>
      </c>
      <c r="C654" s="29">
        <f>(Fuentes!C2067/Fuentes!C$47)*100000</f>
        <v>0</v>
      </c>
      <c r="D654" s="30">
        <f>(Fuentes!D2067/Fuentes!D$47)*100000</f>
        <v>0</v>
      </c>
      <c r="E654" s="35">
        <f>(Fuentes!E2067/Fuentes!E$47)*100000</f>
        <v>0</v>
      </c>
      <c r="F654" s="28">
        <f>(Fuentes!F2067/Fuentes!F$47)*100000</f>
        <v>0</v>
      </c>
      <c r="G654" s="28">
        <f>(Fuentes!G2067/Fuentes!G$47)*100000</f>
        <v>0</v>
      </c>
      <c r="H654" s="28">
        <f>(Fuentes!H2067/Fuentes!H$47)*100000</f>
        <v>0</v>
      </c>
      <c r="I654" s="28">
        <f>(Fuentes!I2067/Fuentes!I$47)*100000</f>
        <v>0</v>
      </c>
      <c r="J654" s="28">
        <f>(Fuentes!J2067/Fuentes!J$47)*100000</f>
        <v>0</v>
      </c>
      <c r="K654" s="28">
        <f>(Fuentes!K2067/Fuentes!K$47)*100000</f>
        <v>0</v>
      </c>
      <c r="L654" s="28">
        <f>(Fuentes!L2067/Fuentes!L$47)*100000</f>
        <v>0</v>
      </c>
      <c r="M654" s="28">
        <f>(Fuentes!M2067/Fuentes!M$47)*100000</f>
        <v>0</v>
      </c>
      <c r="N654" s="36">
        <f>(Fuentes!N2067/Fuentes!N$47)*100000</f>
        <v>0</v>
      </c>
      <c r="O654" s="28">
        <f>(Fuentes!O2067/Fuentes!O$47)*100000</f>
        <v>0</v>
      </c>
      <c r="P654" s="28">
        <f>(Fuentes!P2067/Fuentes!P$47)*100000</f>
        <v>0</v>
      </c>
      <c r="Q654" s="28">
        <f>(Fuentes!Q2067/Fuentes!Q$47)*100000</f>
        <v>0.69137182626286919</v>
      </c>
      <c r="R654" s="28">
        <f>(Fuentes!R2067/Fuentes!R$47)*100000</f>
        <v>0.97263642622749302</v>
      </c>
      <c r="S654" s="28">
        <f>(Fuentes!S2067/Fuentes!S$47)*100000</f>
        <v>0.7770370025020592</v>
      </c>
      <c r="T654" s="28">
        <f>(Fuentes!T2067/Fuentes!T$47)*100000</f>
        <v>0.74785532273898581</v>
      </c>
      <c r="U654" s="28">
        <f>(Fuentes!U2067/Fuentes!U$47)*100000</f>
        <v>0.55962024170397962</v>
      </c>
      <c r="V654" s="28">
        <f>(Fuentes!V2067/Fuentes!V$47)*100000</f>
        <v>0.53380793471884824</v>
      </c>
    </row>
    <row r="655" spans="1:22" s="14" customFormat="1" ht="12.75" x14ac:dyDescent="0.2">
      <c r="A655" s="28" t="s">
        <v>3198</v>
      </c>
      <c r="B655" s="29" t="s">
        <v>3641</v>
      </c>
      <c r="C655" s="29">
        <f>(Fuentes!C2068/Fuentes!C$47)*100000</f>
        <v>2.479115389651088</v>
      </c>
      <c r="D655" s="30">
        <f>(Fuentes!D2068/Fuentes!D$47)*100000</f>
        <v>8.5749127395126177</v>
      </c>
      <c r="E655" s="35">
        <f>(Fuentes!E2068/Fuentes!E$47)*100000</f>
        <v>7.0355464145935631</v>
      </c>
      <c r="F655" s="28">
        <f>(Fuentes!F2068/Fuentes!F$47)*100000</f>
        <v>7.1456451330692872</v>
      </c>
      <c r="G655" s="28">
        <f>(Fuentes!G2068/Fuentes!G$47)*100000</f>
        <v>9.273035001732973</v>
      </c>
      <c r="H655" s="36">
        <f>(Fuentes!H2068/Fuentes!H$47)*100000</f>
        <v>9.513082029811768</v>
      </c>
      <c r="I655" s="28">
        <f>(Fuentes!I2068/Fuentes!I$47)*100000</f>
        <v>15.16831453615341</v>
      </c>
      <c r="J655" s="28">
        <f>(Fuentes!J2068/Fuentes!J$47)*100000</f>
        <v>24.398729146459189</v>
      </c>
      <c r="K655" s="28">
        <f>(Fuentes!K2068/Fuentes!K$47)*100000</f>
        <v>27.81505373414258</v>
      </c>
      <c r="L655" s="28">
        <f>(Fuentes!L2068/Fuentes!L$47)*100000</f>
        <v>27.587984526564007</v>
      </c>
      <c r="M655" s="28">
        <f>(Fuentes!M2068/Fuentes!M$47)*100000</f>
        <v>17.512539993215544</v>
      </c>
      <c r="N655" s="28">
        <f>(Fuentes!N2068/Fuentes!N$47)*100000</f>
        <v>10.01710093339782</v>
      </c>
      <c r="O655" s="28">
        <f>(Fuentes!O2068/Fuentes!O$47)*100000</f>
        <v>6.7921188208107939</v>
      </c>
      <c r="P655" s="28">
        <f>(Fuentes!P2068/Fuentes!P$47)*100000</f>
        <v>4.455605618645988</v>
      </c>
      <c r="Q655" s="28">
        <f>(Fuentes!Q2068/Fuentes!Q$47)*100000</f>
        <v>3.4149578085105361</v>
      </c>
      <c r="R655" s="28">
        <f>(Fuentes!R2068/Fuentes!R$47)*100000</f>
        <v>1.3037466989857884</v>
      </c>
      <c r="S655" s="28">
        <f>(Fuentes!S2068/Fuentes!S$47)*100000</f>
        <v>0.85883037118648642</v>
      </c>
      <c r="T655" s="28">
        <f>(Fuentes!T2068/Fuentes!T$47)*100000</f>
        <v>0.56594456855923247</v>
      </c>
      <c r="U655" s="28">
        <f>(Fuentes!U2068/Fuentes!U$47)*100000</f>
        <v>0.31978299525941695</v>
      </c>
      <c r="V655" s="28">
        <f>(Fuentes!V2068/Fuentes!V$47)*100000</f>
        <v>0.4151839492257709</v>
      </c>
    </row>
    <row r="656" spans="1:22" s="14" customFormat="1" ht="12.75" x14ac:dyDescent="0.2">
      <c r="A656" s="28" t="s">
        <v>3198</v>
      </c>
      <c r="B656" s="29" t="s">
        <v>3642</v>
      </c>
      <c r="C656" s="29">
        <f>(Fuentes!C2069/Fuentes!C$47)*100000</f>
        <v>0</v>
      </c>
      <c r="D656" s="30">
        <f>(Fuentes!D2069/Fuentes!D$47)*100000</f>
        <v>0</v>
      </c>
      <c r="E656" s="35">
        <f>(Fuentes!E2069/Fuentes!E$47)*100000</f>
        <v>0</v>
      </c>
      <c r="F656" s="28">
        <f>(Fuentes!F2069/Fuentes!F$47)*100000</f>
        <v>0</v>
      </c>
      <c r="G656" s="28">
        <f>(Fuentes!G2069/Fuentes!G$47)*100000</f>
        <v>0</v>
      </c>
      <c r="H656" s="28">
        <f>(Fuentes!H2069/Fuentes!H$47)*100000</f>
        <v>4.7446793166143482E-2</v>
      </c>
      <c r="I656" s="28">
        <f>(Fuentes!I2069/Fuentes!I$47)*100000</f>
        <v>4.6743650342537468E-2</v>
      </c>
      <c r="J656" s="28">
        <f>(Fuentes!J2069/Fuentes!J$47)*100000</f>
        <v>0</v>
      </c>
      <c r="K656" s="28">
        <f>(Fuentes!K2069/Fuentes!K$47)*100000</f>
        <v>4.5412332627171564E-2</v>
      </c>
      <c r="L656" s="28">
        <f>(Fuentes!L2069/Fuentes!L$47)*100000</f>
        <v>0</v>
      </c>
      <c r="M656" s="28">
        <f>(Fuentes!M2069/Fuentes!M$47)*100000</f>
        <v>2.2056095709339477E-2</v>
      </c>
      <c r="N656" s="36">
        <f>(Fuentes!N2069/Fuentes!N$47)*100000</f>
        <v>8.7105225507807124E-2</v>
      </c>
      <c r="O656" s="28">
        <f>(Fuentes!O2069/Fuentes!O$47)*100000</f>
        <v>2.1494046901299982E-2</v>
      </c>
      <c r="P656" s="28">
        <f>(Fuentes!P2069/Fuentes!P$47)*100000</f>
        <v>0</v>
      </c>
      <c r="Q656" s="28">
        <f>(Fuentes!Q2069/Fuentes!Q$47)*100000</f>
        <v>2.095066140190513E-2</v>
      </c>
      <c r="R656" s="28">
        <f>(Fuentes!R2069/Fuentes!R$47)*100000</f>
        <v>0</v>
      </c>
      <c r="S656" s="28">
        <f>(Fuentes!S2069/Fuentes!S$47)*100000</f>
        <v>0</v>
      </c>
      <c r="T656" s="28">
        <f>(Fuentes!T2069/Fuentes!T$47)*100000</f>
        <v>0</v>
      </c>
      <c r="U656" s="28">
        <f>(Fuentes!U2069/Fuentes!U$47)*100000</f>
        <v>0</v>
      </c>
      <c r="V656" s="28">
        <f>(Fuentes!V2069/Fuentes!V$47)*100000</f>
        <v>3.9541328497692464E-2</v>
      </c>
    </row>
    <row r="657" spans="1:22" s="14" customFormat="1" ht="12.75" x14ac:dyDescent="0.2">
      <c r="A657" s="28" t="s">
        <v>3198</v>
      </c>
      <c r="B657" s="29" t="s">
        <v>3643</v>
      </c>
      <c r="C657" s="29">
        <f>(Fuentes!C2070/Fuentes!C$47)*100000</f>
        <v>0</v>
      </c>
      <c r="D657" s="30">
        <f>(Fuentes!D2070/Fuentes!D$47)*100000</f>
        <v>0</v>
      </c>
      <c r="E657" s="35">
        <f>(Fuentes!E2070/Fuentes!E$47)*100000</f>
        <v>0</v>
      </c>
      <c r="F657" s="28">
        <f>(Fuentes!F2070/Fuentes!F$47)*100000</f>
        <v>0</v>
      </c>
      <c r="G657" s="28">
        <f>(Fuentes!G2070/Fuentes!G$47)*100000</f>
        <v>0</v>
      </c>
      <c r="H657" s="36">
        <f>(Fuentes!H2070/Fuentes!H$47)*100000</f>
        <v>0</v>
      </c>
      <c r="I657" s="28">
        <f>(Fuentes!I2070/Fuentes!I$47)*100000</f>
        <v>0</v>
      </c>
      <c r="J657" s="28">
        <f>(Fuentes!J2070/Fuentes!J$47)*100000</f>
        <v>0</v>
      </c>
      <c r="K657" s="28">
        <f>(Fuentes!K2070/Fuentes!K$47)*100000</f>
        <v>2.2706166313585782E-2</v>
      </c>
      <c r="L657" s="28">
        <f>(Fuentes!L2070/Fuentes!L$47)*100000</f>
        <v>0</v>
      </c>
      <c r="M657" s="28">
        <f>(Fuentes!M2070/Fuentes!M$47)*100000</f>
        <v>4.4112191418678955E-2</v>
      </c>
      <c r="N657" s="28">
        <f>(Fuentes!N2070/Fuentes!N$47)*100000</f>
        <v>0</v>
      </c>
      <c r="O657" s="28">
        <f>(Fuentes!O2070/Fuentes!O$47)*100000</f>
        <v>0</v>
      </c>
      <c r="P657" s="28">
        <f>(Fuentes!P2070/Fuentes!P$47)*100000</f>
        <v>0</v>
      </c>
      <c r="Q657" s="28">
        <f>(Fuentes!Q2070/Fuentes!Q$47)*100000</f>
        <v>0</v>
      </c>
      <c r="R657" s="28">
        <f>(Fuentes!R2070/Fuentes!R$47)*100000</f>
        <v>0</v>
      </c>
      <c r="S657" s="28">
        <f>(Fuentes!S2070/Fuentes!S$47)*100000</f>
        <v>0</v>
      </c>
      <c r="T657" s="28">
        <f>(Fuentes!T2070/Fuentes!T$47)*100000</f>
        <v>0</v>
      </c>
      <c r="U657" s="28">
        <f>(Fuentes!U2070/Fuentes!U$47)*100000</f>
        <v>0</v>
      </c>
      <c r="V657" s="28">
        <f>(Fuentes!V2070/Fuentes!V$47)*100000</f>
        <v>3.9541328497692464E-2</v>
      </c>
    </row>
    <row r="658" spans="1:22" s="14" customFormat="1" ht="12.75" x14ac:dyDescent="0.2">
      <c r="A658" s="28" t="s">
        <v>3198</v>
      </c>
      <c r="B658" s="29" t="s">
        <v>3644</v>
      </c>
      <c r="C658" s="29">
        <f>(Fuentes!C2071/Fuentes!C$47)*100000</f>
        <v>0.10329647456879532</v>
      </c>
      <c r="D658" s="30">
        <f>(Fuentes!D2071/Fuentes!D$47)*100000</f>
        <v>0.15176836707101973</v>
      </c>
      <c r="E658" s="35">
        <f>(Fuentes!E2071/Fuentes!E$47)*100000</f>
        <v>0.64637528897326013</v>
      </c>
      <c r="F658" s="28">
        <f>(Fuentes!F2071/Fuentes!F$47)*100000</f>
        <v>0.41601358651430786</v>
      </c>
      <c r="G658" s="28">
        <f>(Fuentes!G2071/Fuentes!G$47)*100000</f>
        <v>0.4094586883882092</v>
      </c>
      <c r="H658" s="28">
        <f>(Fuentes!H2071/Fuentes!H$47)*100000</f>
        <v>9.4893586332286964E-2</v>
      </c>
      <c r="I658" s="28">
        <f>(Fuentes!I2071/Fuentes!I$47)*100000</f>
        <v>1.2387067340772429</v>
      </c>
      <c r="J658" s="28">
        <f>(Fuentes!J2071/Fuentes!J$47)*100000</f>
        <v>2.9260043452316498</v>
      </c>
      <c r="K658" s="28">
        <f>(Fuentes!K2071/Fuentes!K$47)*100000</f>
        <v>1.4304884777559042</v>
      </c>
      <c r="L658" s="28">
        <f>(Fuentes!L2071/Fuentes!L$47)*100000</f>
        <v>1.4319797321168666</v>
      </c>
      <c r="M658" s="28">
        <f>(Fuentes!M2071/Fuentes!M$47)*100000</f>
        <v>1.2571974554323502</v>
      </c>
      <c r="N658" s="36">
        <f>(Fuentes!N2071/Fuentes!N$47)*100000</f>
        <v>1.2412494634862516</v>
      </c>
      <c r="O658" s="28">
        <f>(Fuentes!O2071/Fuentes!O$47)*100000</f>
        <v>1.5045832830909986</v>
      </c>
      <c r="P658" s="28">
        <f>(Fuentes!P2071/Fuentes!P$47)*100000</f>
        <v>0.65773225799059831</v>
      </c>
      <c r="Q658" s="28">
        <f>(Fuentes!Q2071/Fuentes!Q$47)*100000</f>
        <v>1.2360890227124026</v>
      </c>
      <c r="R658" s="28">
        <f>(Fuentes!R2071/Fuentes!R$47)*100000</f>
        <v>1.6141625796966907</v>
      </c>
      <c r="S658" s="28">
        <f>(Fuentes!S2071/Fuentes!S$47)*100000</f>
        <v>1.5745223471752252</v>
      </c>
      <c r="T658" s="28">
        <f>(Fuentes!T2071/Fuentes!T$47)*100000</f>
        <v>1.8191075417975331</v>
      </c>
      <c r="U658" s="28">
        <f>(Fuentes!U2071/Fuentes!U$47)*100000</f>
        <v>4.9966093009283901</v>
      </c>
      <c r="V658" s="28">
        <f>(Fuentes!V2071/Fuentes!V$47)*100000</f>
        <v>5.6544099751700223</v>
      </c>
    </row>
    <row r="659" spans="1:22" s="14" customFormat="1" ht="12.75" x14ac:dyDescent="0.2">
      <c r="A659" s="28" t="s">
        <v>3198</v>
      </c>
      <c r="B659" s="29" t="s">
        <v>3645</v>
      </c>
      <c r="C659" s="29">
        <f>(Fuentes!C2072/Fuentes!C$47)*100000</f>
        <v>0.67142708469716961</v>
      </c>
      <c r="D659" s="30">
        <f>(Fuentes!D2072/Fuentes!D$47)*100000</f>
        <v>0.91061020242611845</v>
      </c>
      <c r="E659" s="35">
        <f>(Fuentes!E2072/Fuentes!E$47)*100000</f>
        <v>0.62151470093582706</v>
      </c>
      <c r="F659" s="28">
        <f>(Fuentes!F2072/Fuentes!F$47)*100000</f>
        <v>1.7129971209412675</v>
      </c>
      <c r="G659" s="28">
        <f>(Fuentes!G2072/Fuentes!G$47)*100000</f>
        <v>1.3969767015597727</v>
      </c>
      <c r="H659" s="36">
        <f>(Fuentes!H2072/Fuentes!H$47)*100000</f>
        <v>1.114999639404372</v>
      </c>
      <c r="I659" s="28">
        <f>(Fuentes!I2072/Fuentes!I$47)*100000</f>
        <v>0.81801388099440564</v>
      </c>
      <c r="J659" s="28">
        <f>(Fuentes!J2072/Fuentes!J$47)*100000</f>
        <v>0.57598510732906483</v>
      </c>
      <c r="K659" s="28">
        <f>(Fuentes!K2072/Fuentes!K$47)*100000</f>
        <v>0.408710993644544</v>
      </c>
      <c r="L659" s="28">
        <f>(Fuentes!L2072/Fuentes!L$47)*100000</f>
        <v>0.6041164494868031</v>
      </c>
      <c r="M659" s="28">
        <f>(Fuentes!M2072/Fuentes!M$47)*100000</f>
        <v>2.2056095709339476</v>
      </c>
      <c r="N659" s="28">
        <f>(Fuentes!N2072/Fuentes!N$47)*100000</f>
        <v>1.0670390124706373</v>
      </c>
      <c r="O659" s="28">
        <f>(Fuentes!O2072/Fuentes!O$47)*100000</f>
        <v>1.5475713768935988</v>
      </c>
      <c r="P659" s="28">
        <f>(Fuentes!P2072/Fuentes!P$47)*100000</f>
        <v>0.5092120707023986</v>
      </c>
      <c r="Q659" s="28">
        <f>(Fuentes!Q2072/Fuentes!Q$47)*100000</f>
        <v>0.60756918065524868</v>
      </c>
      <c r="R659" s="28">
        <f>(Fuentes!R2072/Fuentes!R$47)*100000</f>
        <v>0.22763831252132816</v>
      </c>
      <c r="S659" s="28">
        <f>(Fuentes!S2072/Fuentes!S$47)*100000</f>
        <v>0.28627679039549547</v>
      </c>
      <c r="T659" s="28">
        <f>(Fuentes!T2072/Fuentes!T$47)*100000</f>
        <v>0.20212306019972587</v>
      </c>
      <c r="U659" s="28">
        <f>(Fuentes!U2072/Fuentes!U$47)*100000</f>
        <v>0.21985080924084918</v>
      </c>
      <c r="V659" s="28">
        <f>(Fuentes!V2072/Fuentes!V$47)*100000</f>
        <v>0.37564262072807841</v>
      </c>
    </row>
    <row r="660" spans="1:22" s="14" customFormat="1" ht="12.75" x14ac:dyDescent="0.2">
      <c r="A660" s="28" t="s">
        <v>3198</v>
      </c>
      <c r="B660" s="29" t="s">
        <v>3646</v>
      </c>
      <c r="C660" s="29">
        <f>(Fuentes!C2073/Fuentes!C$47)*100000</f>
        <v>0</v>
      </c>
      <c r="D660" s="30">
        <f>(Fuentes!D2073/Fuentes!D$47)*100000</f>
        <v>0</v>
      </c>
      <c r="E660" s="35">
        <f>(Fuentes!E2073/Fuentes!E$47)*100000</f>
        <v>0</v>
      </c>
      <c r="F660" s="28">
        <f>(Fuentes!F2073/Fuentes!F$47)*100000</f>
        <v>0</v>
      </c>
      <c r="G660" s="28">
        <f>(Fuentes!G2073/Fuentes!G$47)*100000</f>
        <v>0</v>
      </c>
      <c r="H660" s="28">
        <f>(Fuentes!H2073/Fuentes!H$47)*100000</f>
        <v>0</v>
      </c>
      <c r="I660" s="28">
        <f>(Fuentes!I2073/Fuentes!I$47)*100000</f>
        <v>4.6743650342537468E-2</v>
      </c>
      <c r="J660" s="28">
        <f>(Fuentes!J2073/Fuentes!J$47)*100000</f>
        <v>4.6078808586325189E-2</v>
      </c>
      <c r="K660" s="28">
        <f>(Fuentes!K2073/Fuentes!K$47)*100000</f>
        <v>0</v>
      </c>
      <c r="L660" s="28">
        <f>(Fuentes!L2073/Fuentes!L$47)*100000</f>
        <v>0.1118734165716302</v>
      </c>
      <c r="M660" s="28">
        <f>(Fuentes!M2073/Fuentes!M$47)*100000</f>
        <v>4.4112191418678955E-2</v>
      </c>
      <c r="N660" s="36">
        <f>(Fuentes!N2073/Fuentes!N$47)*100000</f>
        <v>0.76217072319331247</v>
      </c>
      <c r="O660" s="28">
        <f>(Fuentes!O2073/Fuentes!O$47)*100000</f>
        <v>4.2988093802599964E-2</v>
      </c>
      <c r="P660" s="28">
        <f>(Fuentes!P2073/Fuentes!P$47)*100000</f>
        <v>0.12730301767559965</v>
      </c>
      <c r="Q660" s="28">
        <f>(Fuentes!Q2073/Fuentes!Q$47)*100000</f>
        <v>6.2851984205715389E-2</v>
      </c>
      <c r="R660" s="28">
        <f>(Fuentes!R2073/Fuentes!R$47)*100000</f>
        <v>0.16555513637914776</v>
      </c>
      <c r="S660" s="28">
        <f>(Fuentes!S2073/Fuentes!S$47)*100000</f>
        <v>0.53165689644877734</v>
      </c>
      <c r="T660" s="28">
        <f>(Fuentes!T2073/Fuentes!T$47)*100000</f>
        <v>0.28297228427961624</v>
      </c>
      <c r="U660" s="28">
        <f>(Fuentes!U2073/Fuentes!U$47)*100000</f>
        <v>0.55962024170397962</v>
      </c>
      <c r="V660" s="28">
        <f>(Fuentes!V2073/Fuentes!V$47)*100000</f>
        <v>0</v>
      </c>
    </row>
    <row r="661" spans="1:22" s="14" customFormat="1" ht="12.75" x14ac:dyDescent="0.2">
      <c r="A661" s="28" t="s">
        <v>3198</v>
      </c>
      <c r="B661" s="29" t="s">
        <v>3647</v>
      </c>
      <c r="C661" s="29">
        <f>(Fuentes!C2074/Fuentes!C$47)*100000</f>
        <v>0</v>
      </c>
      <c r="D661" s="30">
        <f>(Fuentes!D2074/Fuentes!D$47)*100000</f>
        <v>0</v>
      </c>
      <c r="E661" s="35">
        <f>(Fuentes!E2074/Fuentes!E$47)*100000</f>
        <v>0</v>
      </c>
      <c r="F661" s="28">
        <f>(Fuentes!F2074/Fuentes!F$47)*100000</f>
        <v>0</v>
      </c>
      <c r="G661" s="28">
        <f>(Fuentes!G2074/Fuentes!G$47)*100000</f>
        <v>0</v>
      </c>
      <c r="H661" s="36">
        <f>(Fuentes!H2074/Fuentes!H$47)*100000</f>
        <v>4.7446793166143482E-2</v>
      </c>
      <c r="I661" s="28">
        <f>(Fuentes!I2074/Fuentes!I$47)*100000</f>
        <v>2.3371825171268734E-2</v>
      </c>
      <c r="J661" s="28">
        <f>(Fuentes!J2074/Fuentes!J$47)*100000</f>
        <v>0</v>
      </c>
      <c r="K661" s="28">
        <f>(Fuentes!K2074/Fuentes!K$47)*100000</f>
        <v>0.15894316419510046</v>
      </c>
      <c r="L661" s="28">
        <f>(Fuentes!L2074/Fuentes!L$47)*100000</f>
        <v>0.1118734165716302</v>
      </c>
      <c r="M661" s="28">
        <f>(Fuentes!M2074/Fuentes!M$47)*100000</f>
        <v>0.11028047854669738</v>
      </c>
      <c r="N661" s="28">
        <f>(Fuentes!N2074/Fuentes!N$47)*100000</f>
        <v>2.1776306376951781E-2</v>
      </c>
      <c r="O661" s="28">
        <f>(Fuentes!O2074/Fuentes!O$47)*100000</f>
        <v>0.25792856281559978</v>
      </c>
      <c r="P661" s="28">
        <f>(Fuentes!P2074/Fuentes!P$47)*100000</f>
        <v>2.1217169612599944E-2</v>
      </c>
      <c r="Q661" s="28">
        <f>(Fuentes!Q2074/Fuentes!Q$47)*100000</f>
        <v>0.18855595261714614</v>
      </c>
      <c r="R661" s="28">
        <f>(Fuentes!R2074/Fuentes!R$47)*100000</f>
        <v>0.18624952842654122</v>
      </c>
      <c r="S661" s="28">
        <f>(Fuentes!S2074/Fuentes!S$47)*100000</f>
        <v>0.59300192296209775</v>
      </c>
      <c r="T661" s="28">
        <f>(Fuentes!T2074/Fuentes!T$47)*100000</f>
        <v>0.46488303845936951</v>
      </c>
      <c r="U661" s="28">
        <f>(Fuentes!U2074/Fuentes!U$47)*100000</f>
        <v>0.49966093009283896</v>
      </c>
      <c r="V661" s="28">
        <f>(Fuentes!V2074/Fuentes!V$47)*100000</f>
        <v>0.8303678984515418</v>
      </c>
    </row>
    <row r="662" spans="1:22" s="14" customFormat="1" ht="12.75" x14ac:dyDescent="0.2">
      <c r="A662" s="28" t="s">
        <v>3198</v>
      </c>
      <c r="B662" s="29" t="s">
        <v>3648</v>
      </c>
      <c r="C662" s="29">
        <f>(Fuentes!C2075/Fuentes!C$47)*100000</f>
        <v>0.1807688304953918</v>
      </c>
      <c r="D662" s="30">
        <f>(Fuentes!D2075/Fuentes!D$47)*100000</f>
        <v>0</v>
      </c>
      <c r="E662" s="35">
        <f>(Fuentes!E2075/Fuentes!E$47)*100000</f>
        <v>0</v>
      </c>
      <c r="F662" s="28">
        <f>(Fuentes!F2075/Fuentes!F$47)*100000</f>
        <v>0</v>
      </c>
      <c r="G662" s="28">
        <f>(Fuentes!G2075/Fuentes!G$47)*100000</f>
        <v>0</v>
      </c>
      <c r="H662" s="28">
        <f>(Fuentes!H2075/Fuentes!H$47)*100000</f>
        <v>0</v>
      </c>
      <c r="I662" s="28">
        <f>(Fuentes!I2075/Fuentes!I$47)*100000</f>
        <v>0</v>
      </c>
      <c r="J662" s="28">
        <f>(Fuentes!J2075/Fuentes!J$47)*100000</f>
        <v>0</v>
      </c>
      <c r="K662" s="28">
        <f>(Fuentes!K2075/Fuentes!K$47)*100000</f>
        <v>0</v>
      </c>
      <c r="L662" s="28">
        <f>(Fuentes!L2075/Fuentes!L$47)*100000</f>
        <v>0</v>
      </c>
      <c r="M662" s="28">
        <f>(Fuentes!M2075/Fuentes!M$47)*100000</f>
        <v>0</v>
      </c>
      <c r="N662" s="36">
        <f>(Fuentes!N2075/Fuentes!N$47)*100000</f>
        <v>0</v>
      </c>
      <c r="O662" s="28">
        <f>(Fuentes!O2075/Fuentes!O$47)*100000</f>
        <v>0</v>
      </c>
      <c r="P662" s="28">
        <f>(Fuentes!P2075/Fuentes!P$47)*100000</f>
        <v>0</v>
      </c>
      <c r="Q662" s="28">
        <f>(Fuentes!Q2075/Fuentes!Q$47)*100000</f>
        <v>0</v>
      </c>
      <c r="R662" s="28">
        <f>(Fuentes!R2075/Fuentes!R$47)*100000</f>
        <v>0</v>
      </c>
      <c r="S662" s="28">
        <f>(Fuentes!S2075/Fuentes!S$47)*100000</f>
        <v>0</v>
      </c>
      <c r="T662" s="28">
        <f>(Fuentes!T2075/Fuentes!T$47)*100000</f>
        <v>4.0424612039945178E-2</v>
      </c>
      <c r="U662" s="28">
        <f>(Fuentes!U2075/Fuentes!U$47)*100000</f>
        <v>1.9986437203713559E-2</v>
      </c>
      <c r="V662" s="28">
        <f>(Fuentes!V2075/Fuentes!V$47)*100000</f>
        <v>0</v>
      </c>
    </row>
    <row r="663" spans="1:22" s="14" customFormat="1" ht="12.75" x14ac:dyDescent="0.2">
      <c r="A663" s="28" t="s">
        <v>3198</v>
      </c>
      <c r="B663" s="29" t="s">
        <v>3649</v>
      </c>
      <c r="C663" s="29">
        <f>(Fuentes!C2076/Fuentes!C$47)*100000</f>
        <v>0</v>
      </c>
      <c r="D663" s="30">
        <f>(Fuentes!D2076/Fuentes!D$47)*100000</f>
        <v>0</v>
      </c>
      <c r="E663" s="35">
        <f>(Fuentes!E2076/Fuentes!E$47)*100000</f>
        <v>0</v>
      </c>
      <c r="F663" s="28">
        <f>(Fuentes!F2076/Fuentes!F$47)*100000</f>
        <v>0</v>
      </c>
      <c r="G663" s="28">
        <f>(Fuentes!G2076/Fuentes!G$47)*100000</f>
        <v>0</v>
      </c>
      <c r="H663" s="36">
        <f>(Fuentes!H2076/Fuentes!H$47)*100000</f>
        <v>0</v>
      </c>
      <c r="I663" s="28">
        <f>(Fuentes!I2076/Fuentes!I$47)*100000</f>
        <v>0</v>
      </c>
      <c r="J663" s="28">
        <f>(Fuentes!J2076/Fuentes!J$47)*100000</f>
        <v>0</v>
      </c>
      <c r="K663" s="28">
        <f>(Fuentes!K2076/Fuentes!K$47)*100000</f>
        <v>0</v>
      </c>
      <c r="L663" s="28">
        <f>(Fuentes!L2076/Fuentes!L$47)*100000</f>
        <v>0</v>
      </c>
      <c r="M663" s="28">
        <f>(Fuentes!M2076/Fuentes!M$47)*100000</f>
        <v>0</v>
      </c>
      <c r="N663" s="28">
        <f>(Fuentes!N2076/Fuentes!N$47)*100000</f>
        <v>0</v>
      </c>
      <c r="O663" s="28">
        <f>(Fuentes!O2076/Fuentes!O$47)*100000</f>
        <v>0</v>
      </c>
      <c r="P663" s="28">
        <f>(Fuentes!P2076/Fuentes!P$47)*100000</f>
        <v>0</v>
      </c>
      <c r="Q663" s="28">
        <f>(Fuentes!Q2076/Fuentes!Q$47)*100000</f>
        <v>0</v>
      </c>
      <c r="R663" s="28">
        <f>(Fuentes!R2076/Fuentes!R$47)*100000</f>
        <v>0</v>
      </c>
      <c r="S663" s="28">
        <f>(Fuentes!S2076/Fuentes!S$47)*100000</f>
        <v>0</v>
      </c>
      <c r="T663" s="28">
        <f>(Fuentes!T2076/Fuentes!T$47)*100000</f>
        <v>0</v>
      </c>
      <c r="U663" s="28">
        <f>(Fuentes!U2076/Fuentes!U$47)*100000</f>
        <v>1.9986437203713559E-2</v>
      </c>
      <c r="V663" s="28">
        <f>(Fuentes!V2076/Fuentes!V$47)*100000</f>
        <v>0</v>
      </c>
    </row>
    <row r="664" spans="1:22" s="14" customFormat="1" ht="12.75" x14ac:dyDescent="0.2">
      <c r="A664" s="28" t="s">
        <v>3198</v>
      </c>
      <c r="B664" s="29" t="s">
        <v>3650</v>
      </c>
      <c r="C664" s="29">
        <f>(Fuentes!C2077/Fuentes!C$47)*100000</f>
        <v>0</v>
      </c>
      <c r="D664" s="30">
        <f>(Fuentes!D2077/Fuentes!D$47)*100000</f>
        <v>0</v>
      </c>
      <c r="E664" s="35">
        <f>(Fuentes!E2077/Fuentes!E$47)*100000</f>
        <v>0</v>
      </c>
      <c r="F664" s="28">
        <f>(Fuentes!F2077/Fuentes!F$47)*100000</f>
        <v>0</v>
      </c>
      <c r="G664" s="28">
        <f>(Fuentes!G2077/Fuentes!G$47)*100000</f>
        <v>0</v>
      </c>
      <c r="H664" s="28">
        <f>(Fuentes!H2077/Fuentes!H$47)*100000</f>
        <v>0</v>
      </c>
      <c r="I664" s="28">
        <f>(Fuentes!I2077/Fuentes!I$47)*100000</f>
        <v>0.39732102791156854</v>
      </c>
      <c r="J664" s="28">
        <f>(Fuentes!J2077/Fuentes!J$47)*100000</f>
        <v>0.62206391591539012</v>
      </c>
      <c r="K664" s="28">
        <f>(Fuentes!K2077/Fuentes!K$47)*100000</f>
        <v>2.2706166313585782E-2</v>
      </c>
      <c r="L664" s="28">
        <f>(Fuentes!L2077/Fuentes!L$47)*100000</f>
        <v>0</v>
      </c>
      <c r="M664" s="28">
        <f>(Fuentes!M2077/Fuentes!M$47)*100000</f>
        <v>0</v>
      </c>
      <c r="N664" s="36">
        <f>(Fuentes!N2077/Fuentes!N$47)*100000</f>
        <v>0</v>
      </c>
      <c r="O664" s="28">
        <f>(Fuentes!O2077/Fuentes!O$47)*100000</f>
        <v>0</v>
      </c>
      <c r="P664" s="28">
        <f>(Fuentes!P2077/Fuentes!P$47)*100000</f>
        <v>0</v>
      </c>
      <c r="Q664" s="28">
        <f>(Fuentes!Q2077/Fuentes!Q$47)*100000</f>
        <v>2.095066140190513E-2</v>
      </c>
      <c r="R664" s="28">
        <f>(Fuentes!R2077/Fuentes!R$47)*100000</f>
        <v>0</v>
      </c>
      <c r="S664" s="28">
        <f>(Fuentes!S2077/Fuentes!S$47)*100000</f>
        <v>0</v>
      </c>
      <c r="T664" s="28">
        <f>(Fuentes!T2077/Fuentes!T$47)*100000</f>
        <v>0</v>
      </c>
      <c r="U664" s="28">
        <f>(Fuentes!U2077/Fuentes!U$47)*100000</f>
        <v>0</v>
      </c>
      <c r="V664" s="28">
        <f>(Fuentes!V2077/Fuentes!V$47)*100000</f>
        <v>0</v>
      </c>
    </row>
    <row r="665" spans="1:22" s="14" customFormat="1" ht="12.75" x14ac:dyDescent="0.2">
      <c r="A665" s="28" t="s">
        <v>3198</v>
      </c>
      <c r="B665" s="29" t="s">
        <v>3651</v>
      </c>
      <c r="C665" s="29">
        <f>(Fuentes!C2078/Fuentes!C$47)*100000</f>
        <v>0</v>
      </c>
      <c r="D665" s="30">
        <f>(Fuentes!D2078/Fuentes!D$47)*100000</f>
        <v>0</v>
      </c>
      <c r="E665" s="35">
        <f>(Fuentes!E2078/Fuentes!E$47)*100000</f>
        <v>0</v>
      </c>
      <c r="F665" s="28">
        <f>(Fuentes!F2078/Fuentes!F$47)*100000</f>
        <v>0</v>
      </c>
      <c r="G665" s="28">
        <f>(Fuentes!G2078/Fuentes!G$47)*100000</f>
        <v>0</v>
      </c>
      <c r="H665" s="36">
        <f>(Fuentes!H2078/Fuentes!H$47)*100000</f>
        <v>0</v>
      </c>
      <c r="I665" s="28">
        <f>(Fuentes!I2078/Fuentes!I$47)*100000</f>
        <v>2.3371825171268734E-2</v>
      </c>
      <c r="J665" s="28">
        <f>(Fuentes!J2078/Fuentes!J$47)*100000</f>
        <v>0</v>
      </c>
      <c r="K665" s="28">
        <f>(Fuentes!K2078/Fuentes!K$47)*100000</f>
        <v>6.8118498940757347E-2</v>
      </c>
      <c r="L665" s="28">
        <f>(Fuentes!L2078/Fuentes!L$47)*100000</f>
        <v>4.4749366628652081E-2</v>
      </c>
      <c r="M665" s="28">
        <f>(Fuentes!M2078/Fuentes!M$47)*100000</f>
        <v>0</v>
      </c>
      <c r="N665" s="28">
        <f>(Fuentes!N2078/Fuentes!N$47)*100000</f>
        <v>0.17421045101561425</v>
      </c>
      <c r="O665" s="28">
        <f>(Fuentes!O2078/Fuentes!O$47)*100000</f>
        <v>0</v>
      </c>
      <c r="P665" s="28">
        <f>(Fuentes!P2078/Fuentes!P$47)*100000</f>
        <v>0</v>
      </c>
      <c r="Q665" s="28">
        <f>(Fuentes!Q2078/Fuentes!Q$47)*100000</f>
        <v>0</v>
      </c>
      <c r="R665" s="28">
        <f>(Fuentes!R2078/Fuentes!R$47)*100000</f>
        <v>0</v>
      </c>
      <c r="S665" s="28">
        <f>(Fuentes!S2078/Fuentes!S$47)*100000</f>
        <v>0</v>
      </c>
      <c r="T665" s="28">
        <f>(Fuentes!T2078/Fuentes!T$47)*100000</f>
        <v>0</v>
      </c>
      <c r="U665" s="28">
        <f>(Fuentes!U2078/Fuentes!U$47)*100000</f>
        <v>0</v>
      </c>
      <c r="V665" s="28">
        <f>(Fuentes!V2078/Fuentes!V$47)*100000</f>
        <v>1.9770664248846232E-2</v>
      </c>
    </row>
    <row r="666" spans="1:22" s="14" customFormat="1" ht="12.75" x14ac:dyDescent="0.2">
      <c r="A666" s="28" t="s">
        <v>3198</v>
      </c>
      <c r="B666" s="29" t="s">
        <v>3652</v>
      </c>
      <c r="C666" s="29">
        <f>(Fuentes!C2079/Fuentes!C$47)*100000</f>
        <v>0</v>
      </c>
      <c r="D666" s="30">
        <f>(Fuentes!D2079/Fuentes!D$47)*100000</f>
        <v>0</v>
      </c>
      <c r="E666" s="35">
        <f>(Fuentes!E2079/Fuentes!E$47)*100000</f>
        <v>0</v>
      </c>
      <c r="F666" s="28">
        <f>(Fuentes!F2079/Fuentes!F$47)*100000</f>
        <v>0</v>
      </c>
      <c r="G666" s="28">
        <f>(Fuentes!G2079/Fuentes!G$47)*100000</f>
        <v>0</v>
      </c>
      <c r="H666" s="28">
        <f>(Fuentes!H2079/Fuentes!H$47)*100000</f>
        <v>0</v>
      </c>
      <c r="I666" s="28">
        <f>(Fuentes!I2079/Fuentes!I$47)*100000</f>
        <v>0</v>
      </c>
      <c r="J666" s="28">
        <f>(Fuentes!J2079/Fuentes!J$47)*100000</f>
        <v>0</v>
      </c>
      <c r="K666" s="28">
        <f>(Fuentes!K2079/Fuentes!K$47)*100000</f>
        <v>0</v>
      </c>
      <c r="L666" s="28">
        <f>(Fuentes!L2079/Fuentes!L$47)*100000</f>
        <v>0</v>
      </c>
      <c r="M666" s="28">
        <f>(Fuentes!M2079/Fuentes!M$47)*100000</f>
        <v>0</v>
      </c>
      <c r="N666" s="36">
        <f>(Fuentes!N2079/Fuentes!N$47)*100000</f>
        <v>0</v>
      </c>
      <c r="O666" s="28">
        <f>(Fuentes!O2079/Fuentes!O$47)*100000</f>
        <v>4.2988093802599964E-2</v>
      </c>
      <c r="P666" s="28">
        <f>(Fuentes!P2079/Fuentes!P$47)*100000</f>
        <v>0</v>
      </c>
      <c r="Q666" s="28">
        <f>(Fuentes!Q2079/Fuentes!Q$47)*100000</f>
        <v>2.095066140190513E-2</v>
      </c>
      <c r="R666" s="28">
        <f>(Fuentes!R2079/Fuentes!R$47)*100000</f>
        <v>0</v>
      </c>
      <c r="S666" s="28">
        <f>(Fuentes!S2079/Fuentes!S$47)*100000</f>
        <v>0</v>
      </c>
      <c r="T666" s="28">
        <f>(Fuentes!T2079/Fuentes!T$47)*100000</f>
        <v>0.12127383611983551</v>
      </c>
      <c r="U666" s="28">
        <f>(Fuentes!U2079/Fuentes!U$47)*100000</f>
        <v>0.63956599051883389</v>
      </c>
      <c r="V666" s="28">
        <f>(Fuentes!V2079/Fuentes!V$47)*100000</f>
        <v>0.23724797098615477</v>
      </c>
    </row>
    <row r="667" spans="1:22" s="14" customFormat="1" ht="12.75" x14ac:dyDescent="0.2">
      <c r="A667" s="28" t="s">
        <v>3198</v>
      </c>
      <c r="B667" s="29" t="s">
        <v>3653</v>
      </c>
      <c r="C667" s="29">
        <f>(Fuentes!C2080/Fuentes!C$47)*100000</f>
        <v>0.1807688304953918</v>
      </c>
      <c r="D667" s="30">
        <f>(Fuentes!D2080/Fuentes!D$47)*100000</f>
        <v>0</v>
      </c>
      <c r="E667" s="35">
        <f>(Fuentes!E2080/Fuentes!E$47)*100000</f>
        <v>0.1491635282245985</v>
      </c>
      <c r="F667" s="28">
        <f>(Fuentes!F2080/Fuentes!F$47)*100000</f>
        <v>0.14682832465210863</v>
      </c>
      <c r="G667" s="28">
        <f>(Fuentes!G2080/Fuentes!G$47)*100000</f>
        <v>0</v>
      </c>
      <c r="H667" s="36">
        <f>(Fuentes!H2080/Fuentes!H$47)*100000</f>
        <v>7.1170189749215226E-2</v>
      </c>
      <c r="I667" s="28">
        <f>(Fuentes!I2080/Fuentes!I$47)*100000</f>
        <v>9.3487300685074937E-2</v>
      </c>
      <c r="J667" s="28">
        <f>(Fuentes!J2080/Fuentes!J$47)*100000</f>
        <v>6.9118212879487786E-2</v>
      </c>
      <c r="K667" s="28">
        <f>(Fuentes!K2080/Fuentes!K$47)*100000</f>
        <v>0.29518016207661513</v>
      </c>
      <c r="L667" s="28">
        <f>(Fuentes!L2080/Fuentes!L$47)*100000</f>
        <v>0.33562024971489063</v>
      </c>
      <c r="M667" s="28">
        <f>(Fuentes!M2080/Fuentes!M$47)*100000</f>
        <v>0.24261705280273427</v>
      </c>
      <c r="N667" s="28">
        <f>(Fuentes!N2080/Fuentes!N$47)*100000</f>
        <v>0.32664459565427673</v>
      </c>
      <c r="O667" s="28">
        <f>(Fuentes!O2080/Fuentes!O$47)*100000</f>
        <v>0.60183331323639944</v>
      </c>
      <c r="P667" s="28">
        <f>(Fuentes!P2080/Fuentes!P$47)*100000</f>
        <v>0.12730301767559965</v>
      </c>
      <c r="Q667" s="28">
        <f>(Fuentes!Q2080/Fuentes!Q$47)*100000</f>
        <v>2.095066140190513E-2</v>
      </c>
      <c r="R667" s="28">
        <f>(Fuentes!R2080/Fuentes!R$47)*100000</f>
        <v>0.12416635228436081</v>
      </c>
      <c r="S667" s="28">
        <f>(Fuentes!S2080/Fuentes!S$47)*100000</f>
        <v>0</v>
      </c>
      <c r="T667" s="28">
        <f>(Fuentes!T2080/Fuentes!T$47)*100000</f>
        <v>0</v>
      </c>
      <c r="U667" s="28">
        <f>(Fuentes!U2080/Fuentes!U$47)*100000</f>
        <v>0</v>
      </c>
      <c r="V667" s="28">
        <f>(Fuentes!V2080/Fuentes!V$47)*100000</f>
        <v>0.19770664248846231</v>
      </c>
    </row>
    <row r="668" spans="1:22" s="14" customFormat="1" ht="12.75" x14ac:dyDescent="0.2">
      <c r="A668" s="28" t="s">
        <v>3198</v>
      </c>
      <c r="B668" s="29" t="s">
        <v>3654</v>
      </c>
      <c r="C668" s="29">
        <f>(Fuentes!C2081/Fuentes!C$47)*100000</f>
        <v>0.69725120333936841</v>
      </c>
      <c r="D668" s="30">
        <f>(Fuentes!D2081/Fuentes!D$47)*100000</f>
        <v>0.58177874043890909</v>
      </c>
      <c r="E668" s="35">
        <f>(Fuentes!E2081/Fuentes!E$47)*100000</f>
        <v>0.91984175738502405</v>
      </c>
      <c r="F668" s="28">
        <f>(Fuentes!F2081/Fuentes!F$47)*100000</f>
        <v>0.26918526186219921</v>
      </c>
      <c r="G668" s="28">
        <f>(Fuentes!G2081/Fuentes!G$47)*100000</f>
        <v>0.67440254558057988</v>
      </c>
      <c r="H668" s="28">
        <f>(Fuentes!H2081/Fuentes!H$47)*100000</f>
        <v>0.42702113849529139</v>
      </c>
      <c r="I668" s="28">
        <f>(Fuentes!I2081/Fuentes!I$47)*100000</f>
        <v>0.46743650342537468</v>
      </c>
      <c r="J668" s="28">
        <f>(Fuentes!J2081/Fuentes!J$47)*100000</f>
        <v>0.46078808586325193</v>
      </c>
      <c r="K668" s="28">
        <f>(Fuentes!K2081/Fuentes!K$47)*100000</f>
        <v>0.29518016207661513</v>
      </c>
      <c r="L668" s="28">
        <f>(Fuentes!L2081/Fuentes!L$47)*100000</f>
        <v>0.38036961634354266</v>
      </c>
      <c r="M668" s="28">
        <f>(Fuentes!M2081/Fuentes!M$47)*100000</f>
        <v>0.30878533993075269</v>
      </c>
      <c r="N668" s="36">
        <f>(Fuentes!N2081/Fuentes!N$47)*100000</f>
        <v>6.5328919130855354E-2</v>
      </c>
      <c r="O668" s="28">
        <f>(Fuentes!O2081/Fuentes!O$47)*100000</f>
        <v>0.12896428140779989</v>
      </c>
      <c r="P668" s="28">
        <f>(Fuentes!P2081/Fuentes!P$47)*100000</f>
        <v>0.1485201872881996</v>
      </c>
      <c r="Q668" s="28">
        <f>(Fuentes!Q2081/Fuentes!Q$47)*100000</f>
        <v>0.25140793682286156</v>
      </c>
      <c r="R668" s="28">
        <f>(Fuentes!R2081/Fuentes!R$47)*100000</f>
        <v>0.24833270456872161</v>
      </c>
      <c r="S668" s="28">
        <f>(Fuentes!S2081/Fuentes!S$47)*100000</f>
        <v>0.3885185012510296</v>
      </c>
      <c r="T668" s="28">
        <f>(Fuentes!T2081/Fuentes!T$47)*100000</f>
        <v>0.22233536621969846</v>
      </c>
      <c r="U668" s="28">
        <f>(Fuentes!U2081/Fuentes!U$47)*100000</f>
        <v>0.45968805568541188</v>
      </c>
      <c r="V668" s="28">
        <f>(Fuentes!V2081/Fuentes!V$47)*100000</f>
        <v>0.27678929948384728</v>
      </c>
    </row>
    <row r="669" spans="1:22" s="14" customFormat="1" ht="12.75" x14ac:dyDescent="0.2">
      <c r="A669" s="28" t="s">
        <v>3198</v>
      </c>
      <c r="B669" s="29" t="s">
        <v>3655</v>
      </c>
      <c r="C669" s="29">
        <f>(Fuentes!C2082/Fuentes!C$47)*100000</f>
        <v>0.154944711853193</v>
      </c>
      <c r="D669" s="30">
        <f>(Fuentes!D2082/Fuentes!D$47)*100000</f>
        <v>5.0589455690339923E-2</v>
      </c>
      <c r="E669" s="35">
        <f>(Fuentes!E2082/Fuentes!E$47)*100000</f>
        <v>0.32318764448663007</v>
      </c>
      <c r="F669" s="28">
        <f>(Fuentes!F2082/Fuentes!F$47)*100000</f>
        <v>0.24471387442018105</v>
      </c>
      <c r="G669" s="28">
        <f>(Fuentes!G2082/Fuentes!G$47)*100000</f>
        <v>0.2890296623916771</v>
      </c>
      <c r="H669" s="36">
        <f>(Fuentes!H2082/Fuentes!H$47)*100000</f>
        <v>7.1170189749215226E-2</v>
      </c>
      <c r="I669" s="28">
        <f>(Fuentes!I2082/Fuentes!I$47)*100000</f>
        <v>2.3371825171268734E-2</v>
      </c>
      <c r="J669" s="28">
        <f>(Fuentes!J2082/Fuentes!J$47)*100000</f>
        <v>4.6078808586325189E-2</v>
      </c>
      <c r="K669" s="28">
        <f>(Fuentes!K2082/Fuentes!K$47)*100000</f>
        <v>2.2706166313585782E-2</v>
      </c>
      <c r="L669" s="28">
        <f>(Fuentes!L2082/Fuentes!L$47)*100000</f>
        <v>6.7124049942978117E-2</v>
      </c>
      <c r="M669" s="28">
        <f>(Fuentes!M2082/Fuentes!M$47)*100000</f>
        <v>0</v>
      </c>
      <c r="N669" s="28">
        <f>(Fuentes!N2082/Fuentes!N$47)*100000</f>
        <v>0</v>
      </c>
      <c r="O669" s="28">
        <f>(Fuentes!O2082/Fuentes!O$47)*100000</f>
        <v>0</v>
      </c>
      <c r="P669" s="28">
        <f>(Fuentes!P2082/Fuentes!P$47)*100000</f>
        <v>0</v>
      </c>
      <c r="Q669" s="28">
        <f>(Fuentes!Q2082/Fuentes!Q$47)*100000</f>
        <v>0</v>
      </c>
      <c r="R669" s="28">
        <f>(Fuentes!R2082/Fuentes!R$47)*100000</f>
        <v>0</v>
      </c>
      <c r="S669" s="28">
        <f>(Fuentes!S2082/Fuentes!S$47)*100000</f>
        <v>0</v>
      </c>
      <c r="T669" s="28">
        <f>(Fuentes!T2082/Fuentes!T$47)*100000</f>
        <v>0</v>
      </c>
      <c r="U669" s="28">
        <f>(Fuentes!U2082/Fuentes!U$47)*100000</f>
        <v>0</v>
      </c>
      <c r="V669" s="28">
        <f>(Fuentes!V2082/Fuentes!V$47)*100000</f>
        <v>1.9770664248846232E-2</v>
      </c>
    </row>
    <row r="670" spans="1:22" s="14" customFormat="1" ht="12.75" x14ac:dyDescent="0.2">
      <c r="A670" s="28" t="s">
        <v>3198</v>
      </c>
      <c r="B670" s="29" t="s">
        <v>3656</v>
      </c>
      <c r="C670" s="29">
        <f>(Fuentes!C2083/Fuentes!C$47)*100000</f>
        <v>0</v>
      </c>
      <c r="D670" s="30">
        <f>(Fuentes!D2083/Fuentes!D$47)*100000</f>
        <v>0</v>
      </c>
      <c r="E670" s="35">
        <f>(Fuentes!E2083/Fuentes!E$47)*100000</f>
        <v>0</v>
      </c>
      <c r="F670" s="28">
        <f>(Fuentes!F2083/Fuentes!F$47)*100000</f>
        <v>0</v>
      </c>
      <c r="G670" s="28">
        <f>(Fuentes!G2083/Fuentes!G$47)*100000</f>
        <v>0</v>
      </c>
      <c r="H670" s="28">
        <f>(Fuentes!H2083/Fuentes!H$47)*100000</f>
        <v>0</v>
      </c>
      <c r="I670" s="28">
        <f>(Fuentes!I2083/Fuentes!I$47)*100000</f>
        <v>0</v>
      </c>
      <c r="J670" s="28">
        <f>(Fuentes!J2083/Fuentes!J$47)*100000</f>
        <v>0</v>
      </c>
      <c r="K670" s="28">
        <f>(Fuentes!K2083/Fuentes!K$47)*100000</f>
        <v>4.5412332627171564E-2</v>
      </c>
      <c r="L670" s="28">
        <f>(Fuentes!L2083/Fuentes!L$47)*100000</f>
        <v>0</v>
      </c>
      <c r="M670" s="28">
        <f>(Fuentes!M2083/Fuentes!M$47)*100000</f>
        <v>0</v>
      </c>
      <c r="N670" s="36">
        <f>(Fuentes!N2083/Fuentes!N$47)*100000</f>
        <v>0</v>
      </c>
      <c r="O670" s="28">
        <f>(Fuentes!O2083/Fuentes!O$47)*100000</f>
        <v>0</v>
      </c>
      <c r="P670" s="28">
        <f>(Fuentes!P2083/Fuentes!P$47)*100000</f>
        <v>6.3651508837799825E-2</v>
      </c>
      <c r="Q670" s="28">
        <f>(Fuentes!Q2083/Fuentes!Q$47)*100000</f>
        <v>2.095066140190513E-2</v>
      </c>
      <c r="R670" s="28">
        <f>(Fuentes!R2083/Fuentes!R$47)*100000</f>
        <v>2.069439204739347E-2</v>
      </c>
      <c r="S670" s="28">
        <f>(Fuentes!S2083/Fuentes!S$47)*100000</f>
        <v>2.0448342171106821E-2</v>
      </c>
      <c r="T670" s="28">
        <f>(Fuentes!T2083/Fuentes!T$47)*100000</f>
        <v>0</v>
      </c>
      <c r="U670" s="28">
        <f>(Fuentes!U2083/Fuentes!U$47)*100000</f>
        <v>0</v>
      </c>
      <c r="V670" s="28">
        <f>(Fuentes!V2083/Fuentes!V$47)*100000</f>
        <v>0</v>
      </c>
    </row>
    <row r="671" spans="1:22" s="14" customFormat="1" ht="12.75" x14ac:dyDescent="0.2">
      <c r="A671" s="28" t="s">
        <v>3198</v>
      </c>
      <c r="B671" s="29" t="s">
        <v>3657</v>
      </c>
      <c r="C671" s="29">
        <f>(Fuentes!C2084/Fuentes!C$47)*100000</f>
        <v>0.1807688304953918</v>
      </c>
      <c r="D671" s="30">
        <f>(Fuentes!D2084/Fuentes!D$47)*100000</f>
        <v>0.27824200629686957</v>
      </c>
      <c r="E671" s="35">
        <f>(Fuentes!E2084/Fuentes!E$47)*100000</f>
        <v>0.37290882056149627</v>
      </c>
      <c r="F671" s="28">
        <f>(Fuentes!F2084/Fuentes!F$47)*100000</f>
        <v>0.73414162326054322</v>
      </c>
      <c r="G671" s="28">
        <f>(Fuentes!G2084/Fuentes!G$47)*100000</f>
        <v>1.4933199223569984</v>
      </c>
      <c r="H671" s="36">
        <f>(Fuentes!H2084/Fuentes!H$47)*100000</f>
        <v>2.490956641222533</v>
      </c>
      <c r="I671" s="28">
        <f>(Fuentes!I2084/Fuentes!I$47)*100000</f>
        <v>2.4072979926406797</v>
      </c>
      <c r="J671" s="28">
        <f>(Fuentes!J2084/Fuentes!J$47)*100000</f>
        <v>2.4882556636615605</v>
      </c>
      <c r="K671" s="28">
        <f>(Fuentes!K2084/Fuentes!K$47)*100000</f>
        <v>2.2479104650449924</v>
      </c>
      <c r="L671" s="28">
        <f>(Fuentes!L2084/Fuentes!L$47)*100000</f>
        <v>2.0360961816036696</v>
      </c>
      <c r="M671" s="28">
        <f>(Fuentes!M2084/Fuentes!M$47)*100000</f>
        <v>2.1394412838059291</v>
      </c>
      <c r="N671" s="28">
        <f>(Fuentes!N2084/Fuentes!N$47)*100000</f>
        <v>0.91460486783197492</v>
      </c>
      <c r="O671" s="28">
        <f>(Fuentes!O2084/Fuentes!O$47)*100000</f>
        <v>1.0747023450649991</v>
      </c>
      <c r="P671" s="28">
        <f>(Fuentes!P2084/Fuentes!P$47)*100000</f>
        <v>0.53042924031499861</v>
      </c>
      <c r="Q671" s="28">
        <f>(Fuentes!Q2084/Fuentes!Q$47)*100000</f>
        <v>0.48186521224381795</v>
      </c>
      <c r="R671" s="28">
        <f>(Fuentes!R2084/Fuentes!R$47)*100000</f>
        <v>0.28972148866350855</v>
      </c>
      <c r="S671" s="28">
        <f>(Fuentes!S2084/Fuentes!S$47)*100000</f>
        <v>0.30672513256660233</v>
      </c>
      <c r="T671" s="28">
        <f>(Fuentes!T2084/Fuentes!T$47)*100000</f>
        <v>0.24254767223967102</v>
      </c>
      <c r="U671" s="28">
        <f>(Fuentes!U2084/Fuentes!U$47)*100000</f>
        <v>0.23983724644456272</v>
      </c>
      <c r="V671" s="28">
        <f>(Fuentes!V2084/Fuentes!V$47)*100000</f>
        <v>0.27678929948384728</v>
      </c>
    </row>
    <row r="672" spans="1:22" s="14" customFormat="1" ht="12.75" x14ac:dyDescent="0.2">
      <c r="A672" s="28" t="s">
        <v>3198</v>
      </c>
      <c r="B672" s="29" t="s">
        <v>3658</v>
      </c>
      <c r="C672" s="29">
        <f>(Fuentes!C2085/Fuentes!C$47)*100000</f>
        <v>1.9626330168071111</v>
      </c>
      <c r="D672" s="30">
        <f>(Fuentes!D2085/Fuentes!D$47)*100000</f>
        <v>2.3524096896008064</v>
      </c>
      <c r="E672" s="35">
        <f>(Fuentes!E2085/Fuentes!E$47)*100000</f>
        <v>1.2927505779465203</v>
      </c>
      <c r="F672" s="28">
        <f>(Fuentes!F2085/Fuentes!F$47)*100000</f>
        <v>1.5172260214051225</v>
      </c>
      <c r="G672" s="28">
        <f>(Fuentes!G2085/Fuentes!G$47)*100000</f>
        <v>1.1079470391680957</v>
      </c>
      <c r="H672" s="28">
        <f>(Fuentes!H2085/Fuentes!H$47)*100000</f>
        <v>1.209893225736659</v>
      </c>
      <c r="I672" s="28">
        <f>(Fuentes!I2085/Fuentes!I$47)*100000</f>
        <v>1.1919630837347055</v>
      </c>
      <c r="J672" s="28">
        <f>(Fuentes!J2085/Fuentes!J$47)*100000</f>
        <v>1.5206006833487313</v>
      </c>
      <c r="K672" s="28">
        <f>(Fuentes!K2085/Fuentes!K$47)*100000</f>
        <v>1.2488391472472178</v>
      </c>
      <c r="L672" s="28">
        <f>(Fuentes!L2085/Fuentes!L$47)*100000</f>
        <v>0.96211138251601969</v>
      </c>
      <c r="M672" s="28">
        <f>(Fuentes!M2085/Fuentes!M$47)*100000</f>
        <v>0.66168287128018433</v>
      </c>
      <c r="N672" s="36">
        <f>(Fuentes!N2085/Fuentes!N$47)*100000</f>
        <v>0.69684180406245699</v>
      </c>
      <c r="O672" s="28">
        <f>(Fuentes!O2085/Fuentes!O$47)*100000</f>
        <v>0.15045832830909986</v>
      </c>
      <c r="P672" s="28">
        <f>(Fuentes!P2085/Fuentes!P$47)*100000</f>
        <v>0.42434339225199885</v>
      </c>
      <c r="Q672" s="28">
        <f>(Fuentes!Q2085/Fuentes!Q$47)*100000</f>
        <v>0.4609145508419128</v>
      </c>
      <c r="R672" s="28">
        <f>(Fuentes!R2085/Fuentes!R$47)*100000</f>
        <v>0.39319344890047592</v>
      </c>
      <c r="S672" s="28">
        <f>(Fuentes!S2085/Fuentes!S$47)*100000</f>
        <v>0.14313839519774774</v>
      </c>
      <c r="T672" s="28">
        <f>(Fuentes!T2085/Fuentes!T$47)*100000</f>
        <v>0.24254767223967102</v>
      </c>
      <c r="U672" s="28">
        <f>(Fuentes!U2085/Fuentes!U$47)*100000</f>
        <v>0.15989149762970847</v>
      </c>
      <c r="V672" s="28">
        <f>(Fuentes!V2085/Fuentes!V$47)*100000</f>
        <v>0.55357859896769457</v>
      </c>
    </row>
    <row r="673" spans="1:22" s="14" customFormat="1" ht="12.75" x14ac:dyDescent="0.2">
      <c r="A673" s="28" t="s">
        <v>3198</v>
      </c>
      <c r="B673" s="29" t="s">
        <v>3659</v>
      </c>
      <c r="C673" s="29">
        <f>(Fuentes!C2086/Fuentes!C$47)*100000</f>
        <v>0</v>
      </c>
      <c r="D673" s="30">
        <f>(Fuentes!D2086/Fuentes!D$47)*100000</f>
        <v>0</v>
      </c>
      <c r="E673" s="35">
        <f>(Fuentes!E2086/Fuentes!E$47)*100000</f>
        <v>0</v>
      </c>
      <c r="F673" s="28">
        <f>(Fuentes!F2086/Fuentes!F$47)*100000</f>
        <v>0</v>
      </c>
      <c r="G673" s="28">
        <f>(Fuentes!G2086/Fuentes!G$47)*100000</f>
        <v>0</v>
      </c>
      <c r="H673" s="36">
        <f>(Fuentes!H2086/Fuentes!H$47)*100000</f>
        <v>0</v>
      </c>
      <c r="I673" s="28">
        <f>(Fuentes!I2086/Fuentes!I$47)*100000</f>
        <v>0</v>
      </c>
      <c r="J673" s="28">
        <f>(Fuentes!J2086/Fuentes!J$47)*100000</f>
        <v>0</v>
      </c>
      <c r="K673" s="28">
        <f>(Fuentes!K2086/Fuentes!K$47)*100000</f>
        <v>0</v>
      </c>
      <c r="L673" s="28">
        <f>(Fuentes!L2086/Fuentes!L$47)*100000</f>
        <v>0</v>
      </c>
      <c r="M673" s="28">
        <f>(Fuentes!M2086/Fuentes!M$47)*100000</f>
        <v>0</v>
      </c>
      <c r="N673" s="28">
        <f>(Fuentes!N2086/Fuentes!N$47)*100000</f>
        <v>0</v>
      </c>
      <c r="O673" s="28">
        <f>(Fuentes!O2086/Fuentes!O$47)*100000</f>
        <v>0.36539879732209968</v>
      </c>
      <c r="P673" s="28">
        <f>(Fuentes!P2086/Fuentes!P$47)*100000</f>
        <v>0</v>
      </c>
      <c r="Q673" s="28">
        <f>(Fuentes!Q2086/Fuentes!Q$47)*100000</f>
        <v>0</v>
      </c>
      <c r="R673" s="28">
        <f>(Fuentes!R2086/Fuentes!R$47)*100000</f>
        <v>0</v>
      </c>
      <c r="S673" s="28">
        <f>(Fuentes!S2086/Fuentes!S$47)*100000</f>
        <v>0</v>
      </c>
      <c r="T673" s="28">
        <f>(Fuentes!T2086/Fuentes!T$47)*100000</f>
        <v>0</v>
      </c>
      <c r="U673" s="28">
        <f>(Fuentes!U2086/Fuentes!U$47)*100000</f>
        <v>0</v>
      </c>
      <c r="V673" s="28">
        <f>(Fuentes!V2086/Fuentes!V$47)*100000</f>
        <v>0</v>
      </c>
    </row>
    <row r="674" spans="1:22" s="14" customFormat="1" ht="12.75" x14ac:dyDescent="0.2">
      <c r="A674" s="28" t="s">
        <v>3198</v>
      </c>
      <c r="B674" s="29" t="s">
        <v>3660</v>
      </c>
      <c r="C674" s="29">
        <f>(Fuentes!C2087/Fuentes!C$47)*100000</f>
        <v>0</v>
      </c>
      <c r="D674" s="30">
        <f>(Fuentes!D2087/Fuentes!D$47)*100000</f>
        <v>0</v>
      </c>
      <c r="E674" s="35">
        <f>(Fuentes!E2087/Fuentes!E$47)*100000</f>
        <v>0</v>
      </c>
      <c r="F674" s="28">
        <f>(Fuentes!F2087/Fuentes!F$47)*100000</f>
        <v>0</v>
      </c>
      <c r="G674" s="28">
        <f>(Fuentes!G2087/Fuentes!G$47)*100000</f>
        <v>0</v>
      </c>
      <c r="H674" s="28">
        <f>(Fuentes!H2087/Fuentes!H$47)*100000</f>
        <v>0</v>
      </c>
      <c r="I674" s="28">
        <f>(Fuentes!I2087/Fuentes!I$47)*100000</f>
        <v>0</v>
      </c>
      <c r="J674" s="28">
        <f>(Fuentes!J2087/Fuentes!J$47)*100000</f>
        <v>0</v>
      </c>
      <c r="K674" s="28">
        <f>(Fuentes!K2087/Fuentes!K$47)*100000</f>
        <v>0</v>
      </c>
      <c r="L674" s="28">
        <f>(Fuentes!L2087/Fuentes!L$47)*100000</f>
        <v>0</v>
      </c>
      <c r="M674" s="28">
        <f>(Fuentes!M2087/Fuentes!M$47)*100000</f>
        <v>0</v>
      </c>
      <c r="N674" s="36">
        <f>(Fuentes!N2087/Fuentes!N$47)*100000</f>
        <v>0</v>
      </c>
      <c r="O674" s="28">
        <f>(Fuentes!O2087/Fuentes!O$47)*100000</f>
        <v>0.92424401675589918</v>
      </c>
      <c r="P674" s="28">
        <f>(Fuentes!P2087/Fuentes!P$47)*100000</f>
        <v>0</v>
      </c>
      <c r="Q674" s="28">
        <f>(Fuentes!Q2087/Fuentes!Q$47)*100000</f>
        <v>0</v>
      </c>
      <c r="R674" s="28">
        <f>(Fuentes!R2087/Fuentes!R$47)*100000</f>
        <v>0</v>
      </c>
      <c r="S674" s="28">
        <f>(Fuentes!S2087/Fuentes!S$47)*100000</f>
        <v>0</v>
      </c>
      <c r="T674" s="28">
        <f>(Fuentes!T2087/Fuentes!T$47)*100000</f>
        <v>0</v>
      </c>
      <c r="U674" s="28">
        <f>(Fuentes!U2087/Fuentes!U$47)*100000</f>
        <v>0</v>
      </c>
      <c r="V674" s="28">
        <f>(Fuentes!V2087/Fuentes!V$47)*100000</f>
        <v>0</v>
      </c>
    </row>
    <row r="675" spans="1:22" s="14" customFormat="1" ht="12.75" x14ac:dyDescent="0.2">
      <c r="A675" s="28" t="s">
        <v>3198</v>
      </c>
      <c r="B675" s="29" t="s">
        <v>3661</v>
      </c>
      <c r="C675" s="29">
        <f>(Fuentes!C2088/Fuentes!C$47)*100000</f>
        <v>0</v>
      </c>
      <c r="D675" s="30">
        <f>(Fuentes!D2088/Fuentes!D$47)*100000</f>
        <v>0</v>
      </c>
      <c r="E675" s="35">
        <f>(Fuentes!E2088/Fuentes!E$47)*100000</f>
        <v>0</v>
      </c>
      <c r="F675" s="28">
        <f>(Fuentes!F2088/Fuentes!F$47)*100000</f>
        <v>0</v>
      </c>
      <c r="G675" s="28">
        <f>(Fuentes!G2088/Fuentes!G$47)*100000</f>
        <v>0</v>
      </c>
      <c r="H675" s="36">
        <f>(Fuentes!H2088/Fuentes!H$47)*100000</f>
        <v>0</v>
      </c>
      <c r="I675" s="28">
        <f>(Fuentes!I2088/Fuentes!I$47)*100000</f>
        <v>0</v>
      </c>
      <c r="J675" s="28">
        <f>(Fuentes!J2088/Fuentes!J$47)*100000</f>
        <v>0</v>
      </c>
      <c r="K675" s="28">
        <f>(Fuentes!K2088/Fuentes!K$47)*100000</f>
        <v>0</v>
      </c>
      <c r="L675" s="28">
        <f>(Fuentes!L2088/Fuentes!L$47)*100000</f>
        <v>0</v>
      </c>
      <c r="M675" s="28">
        <f>(Fuentes!M2088/Fuentes!M$47)*100000</f>
        <v>0</v>
      </c>
      <c r="N675" s="28">
        <f>(Fuentes!N2088/Fuentes!N$47)*100000</f>
        <v>0</v>
      </c>
      <c r="O675" s="28">
        <f>(Fuentes!O2088/Fuentes!O$47)*100000</f>
        <v>4.2988093802599964E-2</v>
      </c>
      <c r="P675" s="28">
        <f>(Fuentes!P2088/Fuentes!P$47)*100000</f>
        <v>0</v>
      </c>
      <c r="Q675" s="28">
        <f>(Fuentes!Q2088/Fuentes!Q$47)*100000</f>
        <v>0</v>
      </c>
      <c r="R675" s="28">
        <f>(Fuentes!R2088/Fuentes!R$47)*100000</f>
        <v>0</v>
      </c>
      <c r="S675" s="28">
        <f>(Fuentes!S2088/Fuentes!S$47)*100000</f>
        <v>0</v>
      </c>
      <c r="T675" s="28">
        <f>(Fuentes!T2088/Fuentes!T$47)*100000</f>
        <v>0</v>
      </c>
      <c r="U675" s="28">
        <f>(Fuentes!U2088/Fuentes!U$47)*100000</f>
        <v>0</v>
      </c>
      <c r="V675" s="28">
        <f>(Fuentes!V2088/Fuentes!V$47)*100000</f>
        <v>0</v>
      </c>
    </row>
    <row r="676" spans="1:22" s="14" customFormat="1" ht="12.75" x14ac:dyDescent="0.2">
      <c r="A676" s="28" t="s">
        <v>3198</v>
      </c>
      <c r="B676" s="29" t="s">
        <v>3662</v>
      </c>
      <c r="C676" s="29">
        <f>(Fuentes!C2089/Fuentes!C$47)*100000</f>
        <v>0</v>
      </c>
      <c r="D676" s="30">
        <f>(Fuentes!D2089/Fuentes!D$47)*100000</f>
        <v>0</v>
      </c>
      <c r="E676" s="35">
        <f>(Fuentes!E2089/Fuentes!E$47)*100000</f>
        <v>0</v>
      </c>
      <c r="F676" s="28">
        <f>(Fuentes!F2089/Fuentes!F$47)*100000</f>
        <v>0</v>
      </c>
      <c r="G676" s="28">
        <f>(Fuentes!G2089/Fuentes!G$47)*100000</f>
        <v>0</v>
      </c>
      <c r="H676" s="28">
        <f>(Fuentes!H2089/Fuentes!H$47)*100000</f>
        <v>0</v>
      </c>
      <c r="I676" s="28">
        <f>(Fuentes!I2089/Fuentes!I$47)*100000</f>
        <v>0</v>
      </c>
      <c r="J676" s="28">
        <f>(Fuentes!J2089/Fuentes!J$47)*100000</f>
        <v>0</v>
      </c>
      <c r="K676" s="28">
        <f>(Fuentes!K2089/Fuentes!K$47)*100000</f>
        <v>0</v>
      </c>
      <c r="L676" s="28">
        <f>(Fuentes!L2089/Fuentes!L$47)*100000</f>
        <v>0</v>
      </c>
      <c r="M676" s="28">
        <f>(Fuentes!M2089/Fuentes!M$47)*100000</f>
        <v>0</v>
      </c>
      <c r="N676" s="36">
        <f>(Fuentes!N2089/Fuentes!N$47)*100000</f>
        <v>0</v>
      </c>
      <c r="O676" s="28">
        <f>(Fuentes!O2089/Fuentes!O$47)*100000</f>
        <v>2.1494046901299982E-2</v>
      </c>
      <c r="P676" s="28">
        <f>(Fuentes!P2089/Fuentes!P$47)*100000</f>
        <v>0</v>
      </c>
      <c r="Q676" s="28">
        <f>(Fuentes!Q2089/Fuentes!Q$47)*100000</f>
        <v>0</v>
      </c>
      <c r="R676" s="28">
        <f>(Fuentes!R2089/Fuentes!R$47)*100000</f>
        <v>0</v>
      </c>
      <c r="S676" s="28">
        <f>(Fuentes!S2089/Fuentes!S$47)*100000</f>
        <v>0</v>
      </c>
      <c r="T676" s="28">
        <f>(Fuentes!T2089/Fuentes!T$47)*100000</f>
        <v>0</v>
      </c>
      <c r="U676" s="28">
        <f>(Fuentes!U2089/Fuentes!U$47)*100000</f>
        <v>0</v>
      </c>
      <c r="V676" s="28">
        <f>(Fuentes!V2089/Fuentes!V$47)*100000</f>
        <v>0</v>
      </c>
    </row>
    <row r="677" spans="1:22" s="14" customFormat="1" ht="12.75" x14ac:dyDescent="0.2">
      <c r="A677" s="28" t="s">
        <v>3198</v>
      </c>
      <c r="B677" s="29" t="s">
        <v>3663</v>
      </c>
      <c r="C677" s="29">
        <f>(Fuentes!C2090/Fuentes!C$47)*100000</f>
        <v>1.8335124235961169</v>
      </c>
      <c r="D677" s="30">
        <f>(Fuentes!D2090/Fuentes!D$47)*100000</f>
        <v>2.9088937021945456</v>
      </c>
      <c r="E677" s="35">
        <f>(Fuentes!E2090/Fuentes!E$47)*100000</f>
        <v>4.0025546740267268</v>
      </c>
      <c r="F677" s="28">
        <f>(Fuentes!F2090/Fuentes!F$47)*100000</f>
        <v>4.1846072525850966</v>
      </c>
      <c r="G677" s="28">
        <f>(Fuentes!G2090/Fuentes!G$47)*100000</f>
        <v>3.2034120915077544</v>
      </c>
      <c r="H677" s="36">
        <f>(Fuentes!H2090/Fuentes!H$47)*100000</f>
        <v>3.0365947626331828</v>
      </c>
      <c r="I677" s="28">
        <f>(Fuentes!I2090/Fuentes!I$47)*100000</f>
        <v>1.6360277619888113</v>
      </c>
      <c r="J677" s="28">
        <f>(Fuentes!J2090/Fuentes!J$47)*100000</f>
        <v>6.0363239248085998</v>
      </c>
      <c r="K677" s="28">
        <f>(Fuentes!K2090/Fuentes!K$47)*100000</f>
        <v>5.2905367510654866</v>
      </c>
      <c r="L677" s="28">
        <f>(Fuentes!L2090/Fuentes!L$47)*100000</f>
        <v>17.877371968146505</v>
      </c>
      <c r="M677" s="28">
        <f>(Fuentes!M2090/Fuentes!M$47)*100000</f>
        <v>14.204125636814622</v>
      </c>
      <c r="N677" s="28">
        <f>(Fuentes!N2090/Fuentes!N$47)*100000</f>
        <v>16.571769152860305</v>
      </c>
      <c r="O677" s="28">
        <f>(Fuentes!O2090/Fuentes!O$47)*100000</f>
        <v>45.610367524558562</v>
      </c>
      <c r="P677" s="28">
        <f>(Fuentes!P2090/Fuentes!P$47)*100000</f>
        <v>18.437720393349352</v>
      </c>
      <c r="Q677" s="28">
        <f>(Fuentes!Q2090/Fuentes!Q$47)*100000</f>
        <v>15.419686791802174</v>
      </c>
      <c r="R677" s="28">
        <f>(Fuentes!R2090/Fuentes!R$47)*100000</f>
        <v>23.922717206786849</v>
      </c>
      <c r="S677" s="28">
        <f>(Fuentes!S2090/Fuentes!S$47)*100000</f>
        <v>19.773546879460294</v>
      </c>
      <c r="T677" s="28">
        <f>(Fuentes!T2090/Fuentes!T$47)*100000</f>
        <v>21.586742829330724</v>
      </c>
      <c r="U677" s="28">
        <f>(Fuentes!U2090/Fuentes!U$47)*100000</f>
        <v>22.944429909863167</v>
      </c>
      <c r="V677" s="28">
        <f>(Fuentes!V2090/Fuentes!V$47)*100000</f>
        <v>27.026498028172799</v>
      </c>
    </row>
    <row r="678" spans="1:22" s="14" customFormat="1" ht="12.75" x14ac:dyDescent="0.2">
      <c r="A678" s="28" t="s">
        <v>3198</v>
      </c>
      <c r="B678" s="29" t="s">
        <v>3664</v>
      </c>
      <c r="C678" s="29">
        <f>(Fuentes!C2091/Fuentes!C$47)*100000</f>
        <v>91.753093535732447</v>
      </c>
      <c r="D678" s="30">
        <f>(Fuentes!D2091/Fuentes!D$47)*100000</f>
        <v>84.307327907951475</v>
      </c>
      <c r="E678" s="35">
        <f>(Fuentes!E2091/Fuentes!E$47)*100000</f>
        <v>91.83501221027781</v>
      </c>
      <c r="F678" s="28">
        <f>(Fuentes!F2091/Fuentes!F$47)*100000</f>
        <v>82.444104292158997</v>
      </c>
      <c r="G678" s="28">
        <f>(Fuentes!G2091/Fuentes!G$47)*100000</f>
        <v>81.602708015250172</v>
      </c>
      <c r="H678" s="28">
        <f>(Fuentes!H2091/Fuentes!H$47)*100000</f>
        <v>99.519648665985954</v>
      </c>
      <c r="I678" s="28">
        <f>(Fuentes!I2091/Fuentes!I$47)*100000</f>
        <v>93.557416160588744</v>
      </c>
      <c r="J678" s="28">
        <f>(Fuentes!J2091/Fuentes!J$47)*100000</f>
        <v>121.92452751941646</v>
      </c>
      <c r="K678" s="28">
        <f>(Fuentes!K2091/Fuentes!K$47)*100000</f>
        <v>187.50752141759136</v>
      </c>
      <c r="L678" s="28">
        <f>(Fuentes!L2091/Fuentes!L$47)*100000</f>
        <v>207.14481812403048</v>
      </c>
      <c r="M678" s="28">
        <f>(Fuentes!M2091/Fuentes!M$47)*100000</f>
        <v>214.01029666772098</v>
      </c>
      <c r="N678" s="36">
        <f>(Fuentes!N2091/Fuentes!N$47)*100000</f>
        <v>196.64004658387461</v>
      </c>
      <c r="O678" s="28">
        <f>(Fuentes!O2091/Fuentes!O$47)*100000</f>
        <v>149.19017954192316</v>
      </c>
      <c r="P678" s="28">
        <f>(Fuentes!P2091/Fuentes!P$47)*100000</f>
        <v>112.93899384786948</v>
      </c>
      <c r="Q678" s="28">
        <f>(Fuentes!Q2091/Fuentes!Q$47)*100000</f>
        <v>128.15519579545366</v>
      </c>
      <c r="R678" s="28">
        <f>(Fuentes!R2091/Fuentes!R$47)*100000</f>
        <v>149.16517787761211</v>
      </c>
      <c r="S678" s="28">
        <f>(Fuentes!S2091/Fuentes!S$47)*100000</f>
        <v>170.35513862749093</v>
      </c>
      <c r="T678" s="28">
        <f>(Fuentes!T2091/Fuentes!T$47)*100000</f>
        <v>175.30133011122226</v>
      </c>
      <c r="U678" s="28">
        <f>(Fuentes!U2091/Fuentes!U$47)*100000</f>
        <v>189.89113987248254</v>
      </c>
      <c r="V678" s="28">
        <f>(Fuentes!V2091/Fuentes!V$47)*100000</f>
        <v>224.99015915187016</v>
      </c>
    </row>
    <row r="679" spans="1:22" s="14" customFormat="1" ht="12.75" x14ac:dyDescent="0.2">
      <c r="A679" s="28" t="s">
        <v>3198</v>
      </c>
      <c r="B679" s="29" t="s">
        <v>3665</v>
      </c>
      <c r="C679" s="29">
        <f>(Fuentes!C2092/Fuentes!C$47)*100000</f>
        <v>31.892786523115554</v>
      </c>
      <c r="D679" s="30">
        <f>(Fuentes!D2092/Fuentes!D$47)*100000</f>
        <v>29.038347566255112</v>
      </c>
      <c r="E679" s="35">
        <f>(Fuentes!E2092/Fuentes!E$47)*100000</f>
        <v>27.943300954074786</v>
      </c>
      <c r="F679" s="28">
        <f>(Fuentes!F2092/Fuentes!F$47)*100000</f>
        <v>26.184384562959373</v>
      </c>
      <c r="G679" s="28">
        <f>(Fuentes!G2092/Fuentes!G$47)*100000</f>
        <v>24.471178082495332</v>
      </c>
      <c r="H679" s="36">
        <f>(Fuentes!H2092/Fuentes!H$47)*100000</f>
        <v>26.926055121786426</v>
      </c>
      <c r="I679" s="28">
        <f>(Fuentes!I2092/Fuentes!I$47)*100000</f>
        <v>19.562217668351931</v>
      </c>
      <c r="J679" s="28">
        <f>(Fuentes!J2092/Fuentes!J$47)*100000</f>
        <v>14.653061130451411</v>
      </c>
      <c r="K679" s="28">
        <f>(Fuentes!K2092/Fuentes!K$47)*100000</f>
        <v>14.259472444931871</v>
      </c>
      <c r="L679" s="28">
        <f>(Fuentes!L2092/Fuentes!L$47)*100000</f>
        <v>14.74491630414086</v>
      </c>
      <c r="M679" s="28">
        <f>(Fuentes!M2092/Fuentes!M$47)*100000</f>
        <v>16.718520547679326</v>
      </c>
      <c r="N679" s="28">
        <f>(Fuentes!N2092/Fuentes!N$47)*100000</f>
        <v>18.161439518377787</v>
      </c>
      <c r="O679" s="28">
        <f>(Fuentes!O2092/Fuentes!O$47)*100000</f>
        <v>21.966915933128583</v>
      </c>
      <c r="P679" s="28">
        <f>(Fuentes!P2092/Fuentes!P$47)*100000</f>
        <v>17.716336626520953</v>
      </c>
      <c r="Q679" s="28">
        <f>(Fuentes!Q2092/Fuentes!Q$47)*100000</f>
        <v>17.661407561806023</v>
      </c>
      <c r="R679" s="28">
        <f>(Fuentes!R2092/Fuentes!R$47)*100000</f>
        <v>21.625639689526174</v>
      </c>
      <c r="S679" s="28">
        <f>(Fuentes!S2092/Fuentes!S$47)*100000</f>
        <v>29.057094225142791</v>
      </c>
      <c r="T679" s="28">
        <f>(Fuentes!T2092/Fuentes!T$47)*100000</f>
        <v>39.050175230587037</v>
      </c>
      <c r="U679" s="28">
        <f>(Fuentes!U2092/Fuentes!U$47)*100000</f>
        <v>33.21745863257194</v>
      </c>
      <c r="V679" s="28">
        <f>(Fuentes!V2092/Fuentes!V$47)*100000</f>
        <v>39.719264475932086</v>
      </c>
    </row>
    <row r="680" spans="1:22" s="14" customFormat="1" ht="12.75" x14ac:dyDescent="0.2">
      <c r="A680" s="28" t="s">
        <v>3198</v>
      </c>
      <c r="B680" s="29" t="s">
        <v>3666</v>
      </c>
      <c r="C680" s="29">
        <f>(Fuentes!C2093/Fuentes!C$47)*100000</f>
        <v>48.420222454122808</v>
      </c>
      <c r="D680" s="30">
        <f>(Fuentes!D2093/Fuentes!D$47)*100000</f>
        <v>44.366952640428103</v>
      </c>
      <c r="E680" s="35">
        <f>(Fuentes!E2093/Fuentes!E$47)*100000</f>
        <v>47.682607855796654</v>
      </c>
      <c r="F680" s="28">
        <f>(Fuentes!F2093/Fuentes!F$47)*100000</f>
        <v>20.971979037809518</v>
      </c>
      <c r="G680" s="28">
        <f>(Fuentes!G2093/Fuentes!G$47)*100000</f>
        <v>21.050993744193814</v>
      </c>
      <c r="H680" s="28">
        <f>(Fuentes!H2093/Fuentes!H$47)*100000</f>
        <v>39.333391534732954</v>
      </c>
      <c r="I680" s="28">
        <f>(Fuentes!I2093/Fuentes!I$47)*100000</f>
        <v>39.77884644149939</v>
      </c>
      <c r="J680" s="28">
        <f>(Fuentes!J2093/Fuentes!J$47)*100000</f>
        <v>36.517455804662717</v>
      </c>
      <c r="K680" s="28">
        <f>(Fuentes!K2093/Fuentes!K$47)*100000</f>
        <v>31.697808173765747</v>
      </c>
      <c r="L680" s="28">
        <f>(Fuentes!L2093/Fuentes!L$47)*100000</f>
        <v>41.616910964646436</v>
      </c>
      <c r="M680" s="28">
        <f>(Fuentes!M2093/Fuentes!M$47)*100000</f>
        <v>32.400404597019694</v>
      </c>
      <c r="N680" s="36">
        <f>(Fuentes!N2093/Fuentes!N$47)*100000</f>
        <v>35.16873479877713</v>
      </c>
      <c r="O680" s="28">
        <f>(Fuentes!O2093/Fuentes!O$47)*100000</f>
        <v>55.66958147436695</v>
      </c>
      <c r="P680" s="28">
        <f>(Fuentes!P2093/Fuentes!P$47)*100000</f>
        <v>27.476234648316925</v>
      </c>
      <c r="Q680" s="28">
        <f>(Fuentes!Q2093/Fuentes!Q$47)*100000</f>
        <v>32.096413267718653</v>
      </c>
      <c r="R680" s="28">
        <f>(Fuentes!R2093/Fuentes!R$47)*100000</f>
        <v>43.31336255519453</v>
      </c>
      <c r="S680" s="28">
        <f>(Fuentes!S2093/Fuentes!S$47)*100000</f>
        <v>43.14600198103539</v>
      </c>
      <c r="T680" s="28">
        <f>(Fuentes!T2093/Fuentes!T$47)*100000</f>
        <v>21.889927419630315</v>
      </c>
      <c r="U680" s="28">
        <f>(Fuentes!U2093/Fuentes!U$47)*100000</f>
        <v>36.055532715499261</v>
      </c>
      <c r="V680" s="28">
        <f>(Fuentes!V2093/Fuentes!V$47)*100000</f>
        <v>41.577706915323631</v>
      </c>
    </row>
    <row r="681" spans="1:22" s="14" customFormat="1" ht="12.75" x14ac:dyDescent="0.2">
      <c r="A681" s="28" t="s">
        <v>3198</v>
      </c>
      <c r="B681" s="29" t="s">
        <v>3667</v>
      </c>
      <c r="C681" s="29">
        <f>(Fuentes!C2094/Fuentes!C$47)*100000</f>
        <v>0</v>
      </c>
      <c r="D681" s="30">
        <f>(Fuentes!D2094/Fuentes!D$47)*100000</f>
        <v>0</v>
      </c>
      <c r="E681" s="35">
        <f>(Fuentes!E2094/Fuentes!E$47)*100000</f>
        <v>0</v>
      </c>
      <c r="F681" s="28">
        <f>(Fuentes!F2094/Fuentes!F$47)*100000</f>
        <v>8.0510864684239571</v>
      </c>
      <c r="G681" s="28">
        <f>(Fuentes!G2094/Fuentes!G$47)*100000</f>
        <v>7.7556292741766688</v>
      </c>
      <c r="H681" s="36">
        <f>(Fuentes!H2094/Fuentes!H$47)*100000</f>
        <v>7.6626570963321727</v>
      </c>
      <c r="I681" s="28">
        <f>(Fuentes!I2094/Fuentes!I$47)*100000</f>
        <v>8.8812935650821192</v>
      </c>
      <c r="J681" s="28">
        <f>(Fuentes!J2094/Fuentes!J$47)*100000</f>
        <v>7.2574123523462184</v>
      </c>
      <c r="K681" s="28">
        <f>(Fuentes!K2094/Fuentes!K$47)*100000</f>
        <v>6.9026745593300776</v>
      </c>
      <c r="L681" s="28">
        <f>(Fuentes!L2094/Fuentes!L$47)*100000</f>
        <v>8.0996353597860278</v>
      </c>
      <c r="M681" s="28">
        <f>(Fuentes!M2094/Fuentes!M$47)*100000</f>
        <v>7.3446798712100456</v>
      </c>
      <c r="N681" s="28">
        <f>(Fuentes!N2094/Fuentes!N$47)*100000</f>
        <v>7.4257204745405581</v>
      </c>
      <c r="O681" s="28">
        <f>(Fuentes!O2094/Fuentes!O$47)*100000</f>
        <v>6.9425771491198933</v>
      </c>
      <c r="P681" s="28">
        <f>(Fuentes!P2094/Fuentes!P$47)*100000</f>
        <v>7.6806153997611792</v>
      </c>
      <c r="Q681" s="28">
        <f>(Fuentes!Q2094/Fuentes!Q$47)*100000</f>
        <v>6.3270997433753475</v>
      </c>
      <c r="R681" s="28">
        <f>(Fuentes!R2094/Fuentes!R$47)*100000</f>
        <v>6.3117895744550081</v>
      </c>
      <c r="S681" s="28">
        <f>(Fuentes!S2094/Fuentes!S$47)*100000</f>
        <v>6.6661595477808238</v>
      </c>
      <c r="T681" s="28">
        <f>(Fuentes!T2094/Fuentes!T$47)*100000</f>
        <v>6.3668763962913655</v>
      </c>
      <c r="U681" s="28">
        <f>(Fuentes!U2094/Fuentes!U$47)*100000</f>
        <v>7.5548732630037261</v>
      </c>
      <c r="V681" s="28">
        <f>(Fuentes!V2094/Fuentes!V$47)*100000</f>
        <v>7.5523937430592616</v>
      </c>
    </row>
    <row r="682" spans="1:22" s="14" customFormat="1" ht="12.75" x14ac:dyDescent="0.2">
      <c r="A682" s="28" t="s">
        <v>3198</v>
      </c>
      <c r="B682" s="29" t="s">
        <v>3668</v>
      </c>
      <c r="C682" s="29">
        <f>(Fuentes!C2095/Fuentes!C$47)*100000</f>
        <v>6.4818537791919058</v>
      </c>
      <c r="D682" s="30">
        <f>(Fuentes!D2095/Fuentes!D$47)*100000</f>
        <v>6.3995661448279995</v>
      </c>
      <c r="E682" s="35">
        <f>(Fuentes!E2095/Fuentes!E$47)*100000</f>
        <v>9.3724416901122733</v>
      </c>
      <c r="F682" s="28">
        <f>(Fuentes!F2095/Fuentes!F$47)*100000</f>
        <v>9.372541390292934</v>
      </c>
      <c r="G682" s="28">
        <f>(Fuentes!G2095/Fuentes!G$47)*100000</f>
        <v>11.633443911265005</v>
      </c>
      <c r="H682" s="28">
        <f>(Fuentes!H2095/Fuentes!H$47)*100000</f>
        <v>8.4218057869904701</v>
      </c>
      <c r="I682" s="28">
        <f>(Fuentes!I2095/Fuentes!I$47)*100000</f>
        <v>6.801201124839201</v>
      </c>
      <c r="J682" s="28">
        <f>(Fuentes!J2095/Fuentes!J$47)*100000</f>
        <v>6.6353484364308271</v>
      </c>
      <c r="K682" s="28">
        <f>(Fuentes!K2095/Fuentes!K$47)*100000</f>
        <v>5.1315935868703866</v>
      </c>
      <c r="L682" s="28">
        <f>(Fuentes!L2095/Fuentes!L$47)*100000</f>
        <v>0</v>
      </c>
      <c r="M682" s="28">
        <f>(Fuentes!M2095/Fuentes!M$47)*100000</f>
        <v>0</v>
      </c>
      <c r="N682" s="36">
        <f>(Fuentes!N2095/Fuentes!N$47)*100000</f>
        <v>0</v>
      </c>
      <c r="O682" s="28">
        <f>(Fuentes!O2095/Fuentes!O$47)*100000</f>
        <v>0.60183331323639944</v>
      </c>
      <c r="P682" s="28">
        <f>(Fuentes!P2095/Fuentes!P$47)*100000</f>
        <v>4.2434339225199888E-2</v>
      </c>
      <c r="Q682" s="28">
        <f>(Fuentes!Q2095/Fuentes!Q$47)*100000</f>
        <v>0</v>
      </c>
      <c r="R682" s="28">
        <f>(Fuentes!R2095/Fuentes!R$47)*100000</f>
        <v>0</v>
      </c>
      <c r="S682" s="28">
        <f>(Fuentes!S2095/Fuentes!S$47)*100000</f>
        <v>0</v>
      </c>
      <c r="T682" s="28">
        <f>(Fuentes!T2095/Fuentes!T$47)*100000</f>
        <v>0</v>
      </c>
      <c r="U682" s="28">
        <f>(Fuentes!U2095/Fuentes!U$47)*100000</f>
        <v>0</v>
      </c>
      <c r="V682" s="28">
        <f>(Fuentes!V2095/Fuentes!V$47)*100000</f>
        <v>1.9770664248846232E-2</v>
      </c>
    </row>
    <row r="683" spans="1:22" s="14" customFormat="1" ht="12.75" x14ac:dyDescent="0.2">
      <c r="A683" s="28" t="s">
        <v>3198</v>
      </c>
      <c r="B683" s="29" t="s">
        <v>3669</v>
      </c>
      <c r="C683" s="29">
        <f>(Fuentes!C2096/Fuentes!C$47)*100000</f>
        <v>0</v>
      </c>
      <c r="D683" s="30">
        <f>(Fuentes!D2096/Fuentes!D$47)*100000</f>
        <v>0</v>
      </c>
      <c r="E683" s="35">
        <f>(Fuentes!E2096/Fuentes!E$47)*100000</f>
        <v>0</v>
      </c>
      <c r="F683" s="28">
        <f>(Fuentes!F2096/Fuentes!F$47)*100000</f>
        <v>0</v>
      </c>
      <c r="G683" s="28">
        <f>(Fuentes!G2096/Fuentes!G$47)*100000</f>
        <v>0</v>
      </c>
      <c r="H683" s="36">
        <f>(Fuentes!H2096/Fuentes!H$47)*100000</f>
        <v>0</v>
      </c>
      <c r="I683" s="28">
        <f>(Fuentes!I2096/Fuentes!I$47)*100000</f>
        <v>0</v>
      </c>
      <c r="J683" s="28">
        <f>(Fuentes!J2096/Fuentes!J$47)*100000</f>
        <v>31.886535541737032</v>
      </c>
      <c r="K683" s="28">
        <f>(Fuentes!K2096/Fuentes!K$47)*100000</f>
        <v>36.375278434364418</v>
      </c>
      <c r="L683" s="28">
        <f>(Fuentes!L2096/Fuentes!L$47)*100000</f>
        <v>45.689103327853772</v>
      </c>
      <c r="M683" s="28">
        <f>(Fuentes!M2096/Fuentes!M$47)*100000</f>
        <v>88.246438933067253</v>
      </c>
      <c r="N683" s="28">
        <f>(Fuentes!N2096/Fuentes!N$47)*100000</f>
        <v>91.112065881166259</v>
      </c>
      <c r="O683" s="28">
        <f>(Fuentes!O2096/Fuentes!O$47)*100000</f>
        <v>52.101569688751155</v>
      </c>
      <c r="P683" s="28">
        <f>(Fuentes!P2096/Fuentes!P$47)*100000</f>
        <v>47.038465031134074</v>
      </c>
      <c r="Q683" s="28">
        <f>(Fuentes!Q2096/Fuentes!Q$47)*100000</f>
        <v>58.934210523559123</v>
      </c>
      <c r="R683" s="28">
        <f>(Fuentes!R2096/Fuentes!R$47)*100000</f>
        <v>65.518445222047731</v>
      </c>
      <c r="S683" s="28">
        <f>(Fuentes!S2096/Fuentes!S$47)*100000</f>
        <v>79.809879493829911</v>
      </c>
      <c r="T683" s="28">
        <f>(Fuentes!T2096/Fuentes!T$47)*100000</f>
        <v>92.673423101574315</v>
      </c>
      <c r="U683" s="28">
        <f>(Fuentes!U2096/Fuentes!U$47)*100000</f>
        <v>101.05142650197575</v>
      </c>
      <c r="V683" s="28">
        <f>(Fuentes!V2096/Fuentes!V$47)*100000</f>
        <v>122.02453974387896</v>
      </c>
    </row>
    <row r="684" spans="1:22" s="14" customFormat="1" ht="12.75" x14ac:dyDescent="0.2">
      <c r="A684" s="28" t="s">
        <v>3198</v>
      </c>
      <c r="B684" s="29" t="s">
        <v>3670</v>
      </c>
      <c r="C684" s="29">
        <f>(Fuentes!C2097/Fuentes!C$47)*100000</f>
        <v>4.958230779302176</v>
      </c>
      <c r="D684" s="30">
        <f>(Fuentes!D2097/Fuentes!D$47)*100000</f>
        <v>4.5024615564402524</v>
      </c>
      <c r="E684" s="35">
        <f>(Fuentes!E2097/Fuentes!E$47)*100000</f>
        <v>6.8366617102940985</v>
      </c>
      <c r="F684" s="28">
        <f>(Fuentes!F2097/Fuentes!F$47)*100000</f>
        <v>4.7229777763094951</v>
      </c>
      <c r="G684" s="28">
        <f>(Fuentes!G2097/Fuentes!G$47)*100000</f>
        <v>3.7332998058924955</v>
      </c>
      <c r="H684" s="28">
        <f>(Fuentes!H2097/Fuentes!H$47)*100000</f>
        <v>3.5347860908776898</v>
      </c>
      <c r="I684" s="28">
        <f>(Fuentes!I2097/Fuentes!I$47)*100000</f>
        <v>5.1885451880216591</v>
      </c>
      <c r="J684" s="28">
        <f>(Fuentes!J2097/Fuentes!J$47)*100000</f>
        <v>11.335386912235997</v>
      </c>
      <c r="K684" s="28">
        <f>(Fuentes!K2097/Fuentes!K$47)*100000</f>
        <v>64.076801336939084</v>
      </c>
      <c r="L684" s="28">
        <f>(Fuentes!L2097/Fuentes!L$47)*100000</f>
        <v>73.433710637618063</v>
      </c>
      <c r="M684" s="28">
        <f>(Fuentes!M2097/Fuentes!M$47)*100000</f>
        <v>45.656118118332721</v>
      </c>
      <c r="N684" s="36">
        <f>(Fuentes!N2097/Fuentes!N$47)*100000</f>
        <v>20.426175381580773</v>
      </c>
      <c r="O684" s="28">
        <f>(Fuentes!O2097/Fuentes!O$47)*100000</f>
        <v>0</v>
      </c>
      <c r="P684" s="28">
        <f>(Fuentes!P2097/Fuentes!P$47)*100000</f>
        <v>6.3651508837799825E-2</v>
      </c>
      <c r="Q684" s="28">
        <f>(Fuentes!Q2097/Fuentes!Q$47)*100000</f>
        <v>4.1901322803810259E-2</v>
      </c>
      <c r="R684" s="28">
        <f>(Fuentes!R2097/Fuentes!R$47)*100000</f>
        <v>0</v>
      </c>
      <c r="S684" s="28">
        <f>(Fuentes!S2097/Fuentes!S$47)*100000</f>
        <v>0</v>
      </c>
      <c r="T684" s="28">
        <f>(Fuentes!T2097/Fuentes!T$47)*100000</f>
        <v>0</v>
      </c>
      <c r="U684" s="28">
        <f>(Fuentes!U2097/Fuentes!U$47)*100000</f>
        <v>0</v>
      </c>
      <c r="V684" s="28">
        <f>(Fuentes!V2097/Fuentes!V$47)*100000</f>
        <v>0</v>
      </c>
    </row>
    <row r="685" spans="1:22" s="14" customFormat="1" ht="12.75" x14ac:dyDescent="0.2">
      <c r="A685" s="28" t="s">
        <v>3198</v>
      </c>
      <c r="B685" s="29" t="s">
        <v>3671</v>
      </c>
      <c r="C685" s="29">
        <f>(Fuentes!C2098/Fuentes!C$47)*100000</f>
        <v>0</v>
      </c>
      <c r="D685" s="30">
        <f>(Fuentes!D2098/Fuentes!D$47)*100000</f>
        <v>0</v>
      </c>
      <c r="E685" s="35">
        <f>(Fuentes!E2098/Fuentes!E$47)*100000</f>
        <v>0</v>
      </c>
      <c r="F685" s="28">
        <f>(Fuentes!F2098/Fuentes!F$47)*100000</f>
        <v>0</v>
      </c>
      <c r="G685" s="28">
        <f>(Fuentes!G2098/Fuentes!G$47)*100000</f>
        <v>0</v>
      </c>
      <c r="H685" s="36">
        <f>(Fuentes!H2098/Fuentes!H$47)*100000</f>
        <v>0</v>
      </c>
      <c r="I685" s="28">
        <f>(Fuentes!I2098/Fuentes!I$47)*100000</f>
        <v>0</v>
      </c>
      <c r="J685" s="28">
        <f>(Fuentes!J2098/Fuentes!J$47)*100000</f>
        <v>0</v>
      </c>
      <c r="K685" s="28">
        <f>(Fuentes!K2098/Fuentes!K$47)*100000</f>
        <v>13.373931958702025</v>
      </c>
      <c r="L685" s="28">
        <f>(Fuentes!L2098/Fuentes!L$47)*100000</f>
        <v>11.366339123677628</v>
      </c>
      <c r="M685" s="28">
        <f>(Fuentes!M2098/Fuentes!M$47)*100000</f>
        <v>9.9031869734934261</v>
      </c>
      <c r="N685" s="28">
        <f>(Fuentes!N2098/Fuentes!N$47)*100000</f>
        <v>11.998744813700434</v>
      </c>
      <c r="O685" s="28">
        <f>(Fuentes!O2098/Fuentes!O$47)*100000</f>
        <v>1.2681487671766989</v>
      </c>
      <c r="P685" s="28">
        <f>(Fuentes!P2098/Fuentes!P$47)*100000</f>
        <v>0.76381810605359801</v>
      </c>
      <c r="Q685" s="28">
        <f>(Fuentes!Q2098/Fuentes!Q$47)*100000</f>
        <v>0.90087844028192055</v>
      </c>
      <c r="R685" s="28">
        <f>(Fuentes!R2098/Fuentes!R$47)*100000</f>
        <v>0.95194203418009948</v>
      </c>
      <c r="S685" s="28">
        <f>(Fuentes!S2098/Fuentes!S$47)*100000</f>
        <v>1.2473488724375161</v>
      </c>
      <c r="T685" s="28">
        <f>(Fuentes!T2098/Fuentes!T$47)*100000</f>
        <v>2.4254767223967106</v>
      </c>
      <c r="U685" s="28">
        <f>(Fuentes!U2098/Fuentes!U$47)*100000</f>
        <v>1.319104855445095</v>
      </c>
      <c r="V685" s="28">
        <f>(Fuentes!V2098/Fuentes!V$47)*100000</f>
        <v>0.61289059171423321</v>
      </c>
    </row>
    <row r="686" spans="1:22" s="14" customFormat="1" ht="12.75" x14ac:dyDescent="0.2">
      <c r="A686" s="28" t="s">
        <v>3198</v>
      </c>
      <c r="B686" s="29" t="s">
        <v>3672</v>
      </c>
      <c r="C686" s="29">
        <f>(Fuentes!C2099/Fuentes!C$47)*100000</f>
        <v>0</v>
      </c>
      <c r="D686" s="30">
        <f>(Fuentes!D2099/Fuentes!D$47)*100000</f>
        <v>0</v>
      </c>
      <c r="E686" s="35">
        <f>(Fuentes!E2099/Fuentes!E$47)*100000</f>
        <v>0</v>
      </c>
      <c r="F686" s="28">
        <f>(Fuentes!F2099/Fuentes!F$47)*100000</f>
        <v>0</v>
      </c>
      <c r="G686" s="28">
        <f>(Fuentes!G2099/Fuentes!G$47)*100000</f>
        <v>0</v>
      </c>
      <c r="H686" s="28">
        <f>(Fuentes!H2099/Fuentes!H$47)*100000</f>
        <v>0</v>
      </c>
      <c r="I686" s="28">
        <f>(Fuentes!I2099/Fuentes!I$47)*100000</f>
        <v>0</v>
      </c>
      <c r="J686" s="28">
        <f>(Fuentes!J2099/Fuentes!J$47)*100000</f>
        <v>0</v>
      </c>
      <c r="K686" s="28">
        <f>(Fuentes!K2099/Fuentes!K$47)*100000</f>
        <v>0</v>
      </c>
      <c r="L686" s="28">
        <f>(Fuentes!L2099/Fuentes!L$47)*100000</f>
        <v>0</v>
      </c>
      <c r="M686" s="28">
        <f>(Fuentes!M2099/Fuentes!M$47)*100000</f>
        <v>0</v>
      </c>
      <c r="N686" s="36">
        <f>(Fuentes!N2099/Fuentes!N$47)*100000</f>
        <v>0</v>
      </c>
      <c r="O686" s="28">
        <f>(Fuentes!O2099/Fuentes!O$47)*100000</f>
        <v>0</v>
      </c>
      <c r="P686" s="28">
        <f>(Fuentes!P2099/Fuentes!P$47)*100000</f>
        <v>6.3651508837799825E-2</v>
      </c>
      <c r="Q686" s="28">
        <f>(Fuentes!Q2099/Fuentes!Q$47)*100000</f>
        <v>8.3802645607620518E-2</v>
      </c>
      <c r="R686" s="28">
        <f>(Fuentes!R2099/Fuentes!R$47)*100000</f>
        <v>8.277756818957388E-2</v>
      </c>
      <c r="S686" s="28">
        <f>(Fuentes!S2099/Fuentes!S$47)*100000</f>
        <v>0.12269005302664091</v>
      </c>
      <c r="T686" s="28">
        <f>(Fuentes!T2099/Fuentes!T$47)*100000</f>
        <v>0.10106153009986293</v>
      </c>
      <c r="U686" s="28">
        <f>(Fuentes!U2099/Fuentes!U$47)*100000</f>
        <v>5.9959311611140681E-2</v>
      </c>
      <c r="V686" s="28">
        <f>(Fuentes!V2099/Fuentes!V$47)*100000</f>
        <v>0.11862398549307739</v>
      </c>
    </row>
    <row r="687" spans="1:22" s="14" customFormat="1" ht="12.75" x14ac:dyDescent="0.2">
      <c r="A687" s="28" t="s">
        <v>3198</v>
      </c>
      <c r="B687" s="29" t="s">
        <v>3673</v>
      </c>
      <c r="C687" s="29">
        <f>(Fuentes!C2100/Fuentes!C$47)*100000</f>
        <v>0</v>
      </c>
      <c r="D687" s="30">
        <f>(Fuentes!D2100/Fuentes!D$47)*100000</f>
        <v>0</v>
      </c>
      <c r="E687" s="35">
        <f>(Fuentes!E2100/Fuentes!E$47)*100000</f>
        <v>0</v>
      </c>
      <c r="F687" s="28">
        <f>(Fuentes!F2100/Fuentes!F$47)*100000</f>
        <v>13.141135056363723</v>
      </c>
      <c r="G687" s="28">
        <f>(Fuentes!G2100/Fuentes!G$47)*100000</f>
        <v>12.958163197226858</v>
      </c>
      <c r="H687" s="36">
        <f>(Fuentes!H2100/Fuentes!H$47)*100000</f>
        <v>13.640953035266252</v>
      </c>
      <c r="I687" s="28">
        <f>(Fuentes!I2100/Fuentes!I$47)*100000</f>
        <v>13.345312172794447</v>
      </c>
      <c r="J687" s="28">
        <f>(Fuentes!J2100/Fuentes!J$47)*100000</f>
        <v>13.639327341552256</v>
      </c>
      <c r="K687" s="28">
        <f>(Fuentes!K2100/Fuentes!K$47)*100000</f>
        <v>15.689960922687774</v>
      </c>
      <c r="L687" s="28">
        <f>(Fuentes!L2100/Fuentes!L$47)*100000</f>
        <v>12.194202406307692</v>
      </c>
      <c r="M687" s="28">
        <f>(Fuentes!M2100/Fuentes!M$47)*100000</f>
        <v>13.740947626918494</v>
      </c>
      <c r="N687" s="28">
        <f>(Fuentes!N2100/Fuentes!N$47)*100000</f>
        <v>12.347165715731659</v>
      </c>
      <c r="O687" s="28">
        <f>(Fuentes!O2100/Fuentes!O$47)*100000</f>
        <v>10.639553216143492</v>
      </c>
      <c r="P687" s="28">
        <f>(Fuentes!P2100/Fuentes!P$47)*100000</f>
        <v>12.093786679181967</v>
      </c>
      <c r="Q687" s="28">
        <f>(Fuentes!Q2100/Fuentes!Q$47)*100000</f>
        <v>12.109482290301163</v>
      </c>
      <c r="R687" s="28">
        <f>(Fuentes!R2100/Fuentes!R$47)*100000</f>
        <v>11.361221234019014</v>
      </c>
      <c r="S687" s="28">
        <f>(Fuentes!S2100/Fuentes!S$47)*100000</f>
        <v>10.305964454237838</v>
      </c>
      <c r="T687" s="28">
        <f>(Fuentes!T2100/Fuentes!T$47)*100000</f>
        <v>12.794389710642649</v>
      </c>
      <c r="U687" s="28">
        <f>(Fuentes!U2100/Fuentes!U$47)*100000</f>
        <v>10.632784592375613</v>
      </c>
      <c r="V687" s="28">
        <f>(Fuentes!V2100/Fuentes!V$47)*100000</f>
        <v>13.364969032220053</v>
      </c>
    </row>
    <row r="688" spans="1:22" s="14" customFormat="1" ht="12.75" x14ac:dyDescent="0.2">
      <c r="A688" s="28" t="s">
        <v>3198</v>
      </c>
      <c r="B688" s="29" t="s">
        <v>3674</v>
      </c>
      <c r="C688" s="29">
        <f>(Fuentes!C2101/Fuentes!C$47)*100000</f>
        <v>0</v>
      </c>
      <c r="D688" s="30">
        <f>(Fuentes!D2101/Fuentes!D$47)*100000</f>
        <v>0</v>
      </c>
      <c r="E688" s="35">
        <f>(Fuentes!E2101/Fuentes!E$47)*100000</f>
        <v>0</v>
      </c>
      <c r="F688" s="28">
        <f>(Fuentes!F2101/Fuentes!F$47)*100000</f>
        <v>0</v>
      </c>
      <c r="G688" s="28">
        <f>(Fuentes!G2101/Fuentes!G$47)*100000</f>
        <v>0</v>
      </c>
      <c r="H688" s="28">
        <f>(Fuentes!H2101/Fuentes!H$47)*100000</f>
        <v>0</v>
      </c>
      <c r="I688" s="28">
        <f>(Fuentes!I2101/Fuentes!I$47)*100000</f>
        <v>0</v>
      </c>
      <c r="J688" s="28">
        <f>(Fuentes!J2101/Fuentes!J$47)*100000</f>
        <v>15.321203854953126</v>
      </c>
      <c r="K688" s="28">
        <f>(Fuentes!K2101/Fuentes!K$47)*100000</f>
        <v>34.695022127159071</v>
      </c>
      <c r="L688" s="28">
        <f>(Fuentes!L2101/Fuentes!L$47)*100000</f>
        <v>36.24698696920818</v>
      </c>
      <c r="M688" s="28">
        <f>(Fuentes!M2101/Fuentes!M$47)*100000</f>
        <v>31.826946108576866</v>
      </c>
      <c r="N688" s="36">
        <f>(Fuentes!N2101/Fuentes!N$47)*100000</f>
        <v>15.570059059520524</v>
      </c>
      <c r="O688" s="28">
        <f>(Fuentes!O2101/Fuentes!O$47)*100000</f>
        <v>2.2783689715377977</v>
      </c>
      <c r="P688" s="28">
        <f>(Fuentes!P2101/Fuentes!P$47)*100000</f>
        <v>9.1870344422557757</v>
      </c>
      <c r="Q688" s="28">
        <f>(Fuentes!Q2101/Fuentes!Q$47)*100000</f>
        <v>1.298941006918118</v>
      </c>
      <c r="R688" s="28">
        <f>(Fuentes!R2101/Fuentes!R$47)*100000</f>
        <v>14.941351058218086</v>
      </c>
      <c r="S688" s="28">
        <f>(Fuentes!S2101/Fuentes!S$47)*100000</f>
        <v>23.679180234141697</v>
      </c>
      <c r="T688" s="28">
        <f>(Fuentes!T2101/Fuentes!T$47)*100000</f>
        <v>22.152687397889956</v>
      </c>
      <c r="U688" s="28">
        <f>(Fuentes!U2101/Fuentes!U$47)*100000</f>
        <v>37.93425781264834</v>
      </c>
      <c r="V688" s="28">
        <f>(Fuentes!V2101/Fuentes!V$47)*100000</f>
        <v>41.202064294595552</v>
      </c>
    </row>
    <row r="689" spans="1:22" s="14" customFormat="1" ht="12.75" x14ac:dyDescent="0.2">
      <c r="A689" s="28" t="s">
        <v>3198</v>
      </c>
      <c r="B689" s="29" t="s">
        <v>3675</v>
      </c>
      <c r="C689" s="29">
        <f>(Fuentes!C2102/Fuentes!C$47)*100000</f>
        <v>19.884571354493101</v>
      </c>
      <c r="D689" s="30">
        <f>(Fuentes!D2102/Fuentes!D$47)*100000</f>
        <v>26.357106414667097</v>
      </c>
      <c r="E689" s="35">
        <f>(Fuentes!E2102/Fuentes!E$47)*100000</f>
        <v>29.509518000433072</v>
      </c>
      <c r="F689" s="28">
        <f>(Fuentes!F2102/Fuentes!F$47)*100000</f>
        <v>38.199835796990264</v>
      </c>
      <c r="G689" s="28">
        <f>(Fuentes!G2102/Fuentes!G$47)*100000</f>
        <v>36.730852928942298</v>
      </c>
      <c r="H689" s="36">
        <f>(Fuentes!H2102/Fuentes!H$47)*100000</f>
        <v>47.565410149058842</v>
      </c>
      <c r="I689" s="28">
        <f>(Fuentes!I2102/Fuentes!I$47)*100000</f>
        <v>52.539862985012114</v>
      </c>
      <c r="J689" s="28">
        <f>(Fuentes!J2102/Fuentes!J$47)*100000</f>
        <v>23.592349996198497</v>
      </c>
      <c r="K689" s="28">
        <f>(Fuentes!K2102/Fuentes!K$47)*100000</f>
        <v>27.542579738379555</v>
      </c>
      <c r="L689" s="28">
        <f>(Fuentes!L2102/Fuentes!L$47)*100000</f>
        <v>30.698065507255325</v>
      </c>
      <c r="M689" s="28">
        <f>(Fuentes!M2102/Fuentes!M$47)*100000</f>
        <v>25.210117395775026</v>
      </c>
      <c r="N689" s="28">
        <f>(Fuentes!N2102/Fuentes!N$47)*100000</f>
        <v>33.252419837605373</v>
      </c>
      <c r="O689" s="28">
        <f>(Fuentes!O2102/Fuentes!O$47)*100000</f>
        <v>10.76851749755129</v>
      </c>
      <c r="P689" s="28">
        <f>(Fuentes!P2102/Fuentes!P$47)*100000</f>
        <v>4.370736940195588</v>
      </c>
      <c r="Q689" s="28">
        <f>(Fuentes!Q2102/Fuentes!Q$47)*100000</f>
        <v>3.0168952418743382</v>
      </c>
      <c r="R689" s="28">
        <f>(Fuentes!R2102/Fuentes!R$47)*100000</f>
        <v>7.8224801939147319</v>
      </c>
      <c r="S689" s="28">
        <f>(Fuentes!S2102/Fuentes!S$47)*100000</f>
        <v>27.503020220138673</v>
      </c>
      <c r="T689" s="28">
        <f>(Fuentes!T2102/Fuentes!T$47)*100000</f>
        <v>59.383755086679464</v>
      </c>
      <c r="U689" s="28">
        <f>(Fuentes!U2102/Fuentes!U$47)*100000</f>
        <v>45.069415894374082</v>
      </c>
      <c r="V689" s="28">
        <f>(Fuentes!V2102/Fuentes!V$47)*100000</f>
        <v>67.180717117579491</v>
      </c>
    </row>
    <row r="690" spans="1:22" s="14" customFormat="1" ht="12.75" x14ac:dyDescent="0.2">
      <c r="A690" s="28"/>
      <c r="B690" s="29" t="s">
        <v>559</v>
      </c>
      <c r="C690" s="29">
        <v>765954</v>
      </c>
      <c r="D690" s="30">
        <v>899824</v>
      </c>
      <c r="E690" s="35">
        <v>967030</v>
      </c>
      <c r="F690" s="28">
        <v>894666</v>
      </c>
      <c r="G690" s="28">
        <v>918577</v>
      </c>
      <c r="H690" s="28">
        <v>521776</v>
      </c>
      <c r="I690" s="28">
        <v>506693</v>
      </c>
      <c r="J690" s="28">
        <v>554843</v>
      </c>
      <c r="K690" s="28">
        <v>588710</v>
      </c>
      <c r="L690" s="28">
        <v>666562</v>
      </c>
      <c r="M690" s="28">
        <v>656165</v>
      </c>
      <c r="N690" s="36">
        <v>667813</v>
      </c>
      <c r="O690" s="28">
        <v>605219</v>
      </c>
      <c r="P690" s="28">
        <v>610799</v>
      </c>
      <c r="Q690" s="28">
        <v>623510</v>
      </c>
      <c r="R690" s="28">
        <v>601249</v>
      </c>
      <c r="S690" s="28">
        <v>632707</v>
      </c>
      <c r="T690" s="28">
        <v>665511</v>
      </c>
      <c r="U690" s="28">
        <v>714082</v>
      </c>
      <c r="V690" s="28">
        <v>717004</v>
      </c>
    </row>
    <row r="1327" spans="19:19" x14ac:dyDescent="0.2">
      <c r="S1327" s="1">
        <v>3358</v>
      </c>
    </row>
    <row r="1331" spans="19:19" x14ac:dyDescent="0.2">
      <c r="S1331" s="1">
        <v>8532</v>
      </c>
    </row>
    <row r="1332" spans="19:19" x14ac:dyDescent="0.2">
      <c r="S1332" s="1">
        <v>768</v>
      </c>
    </row>
  </sheetData>
  <autoFilter ref="A1:V689" xr:uid="{00000000-0009-0000-0000-000001000000}"/>
  <phoneticPr fontId="3" type="noConversion"/>
  <pageMargins left="0.7" right="0.7" top="0.75" bottom="0.75" header="0.3" footer="0.3"/>
  <pageSetup orientation="portrait" horizontalDpi="4294967294" verticalDpi="4294967294"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B9771-7F0F-4F78-ACE1-FD441ABBCB38}">
  <dimension ref="A1:U297"/>
  <sheetViews>
    <sheetView zoomScale="80" zoomScaleNormal="80" workbookViewId="0">
      <pane xSplit="4" ySplit="1" topLeftCell="E2" activePane="bottomRight" state="frozen"/>
      <selection pane="topRight" activeCell="E1" sqref="E1"/>
      <selection pane="bottomLeft" activeCell="A2" sqref="A2"/>
      <selection pane="bottomRight" activeCell="A5" sqref="A5:XFD6"/>
    </sheetView>
  </sheetViews>
  <sheetFormatPr baseColWidth="10" defaultColWidth="61.85546875" defaultRowHeight="12.75" x14ac:dyDescent="0.2"/>
  <cols>
    <col min="1" max="1" width="9" style="14" customWidth="1"/>
    <col min="2" max="2" width="11.28515625" style="14" customWidth="1"/>
    <col min="3" max="3" width="11.7109375" style="14" customWidth="1"/>
    <col min="4" max="4" width="128.140625" style="16" customWidth="1"/>
    <col min="5" max="5" width="36.28515625" style="14" customWidth="1"/>
    <col min="6" max="6" width="7.42578125" style="14" customWidth="1"/>
    <col min="7" max="7" width="51.28515625" style="14" customWidth="1"/>
    <col min="8" max="8" width="53.85546875" style="14" customWidth="1"/>
    <col min="9" max="9" width="61.85546875" style="14"/>
    <col min="10" max="10" width="12.140625" style="14" customWidth="1"/>
    <col min="11" max="11" width="12.42578125" style="14" customWidth="1"/>
    <col min="12" max="12" width="54.7109375" style="14" customWidth="1"/>
    <col min="13" max="13" width="13.7109375" style="14" customWidth="1"/>
    <col min="14" max="14" width="31.28515625" style="14" customWidth="1"/>
    <col min="15" max="15" width="18.28515625" style="14" customWidth="1"/>
    <col min="16" max="16" width="21.140625" style="14" customWidth="1"/>
    <col min="17" max="17" width="116.28515625" style="14" customWidth="1"/>
    <col min="18" max="16384" width="61.85546875" style="14"/>
  </cols>
  <sheetData>
    <row r="1" spans="1:17" ht="26.25" thickBot="1" x14ac:dyDescent="0.25">
      <c r="A1" s="25" t="s">
        <v>3676</v>
      </c>
      <c r="B1" s="25" t="s">
        <v>3677</v>
      </c>
      <c r="C1" s="25" t="s">
        <v>3678</v>
      </c>
      <c r="D1" s="25" t="s">
        <v>3679</v>
      </c>
      <c r="E1" s="26" t="s">
        <v>3680</v>
      </c>
      <c r="F1" s="27" t="s">
        <v>3681</v>
      </c>
      <c r="G1" s="26" t="s">
        <v>3682</v>
      </c>
      <c r="H1" s="26" t="s">
        <v>3683</v>
      </c>
      <c r="I1" s="26" t="s">
        <v>3684</v>
      </c>
      <c r="J1" s="27" t="s">
        <v>3685</v>
      </c>
      <c r="K1" s="26" t="s">
        <v>3069</v>
      </c>
      <c r="L1" s="27" t="s">
        <v>3686</v>
      </c>
      <c r="M1" s="26" t="s">
        <v>3687</v>
      </c>
      <c r="N1" s="26" t="s">
        <v>3688</v>
      </c>
      <c r="O1" s="27" t="s">
        <v>3689</v>
      </c>
      <c r="P1" s="27" t="s">
        <v>3690</v>
      </c>
      <c r="Q1" s="26" t="s">
        <v>3691</v>
      </c>
    </row>
    <row r="2" spans="1:17" ht="13.5" thickTop="1" x14ac:dyDescent="0.2">
      <c r="A2" s="28" t="s">
        <v>3692</v>
      </c>
      <c r="B2" s="29" t="str">
        <f>'[1]Calculos Indicadores'!C2</f>
        <v>F.1</v>
      </c>
      <c r="C2" s="29" t="b">
        <f>D2=E2</f>
        <v>1</v>
      </c>
      <c r="D2" s="30" t="str">
        <f>Calculos!B2</f>
        <v xml:space="preserve">Presupuesto actual del Poder Judicial </v>
      </c>
      <c r="E2" s="31" t="s">
        <v>6</v>
      </c>
      <c r="F2" s="31" t="s">
        <v>3693</v>
      </c>
      <c r="G2" s="31" t="s">
        <v>3694</v>
      </c>
      <c r="H2" s="32" t="s">
        <v>4222</v>
      </c>
      <c r="I2" s="31" t="s">
        <v>6</v>
      </c>
      <c r="J2" s="28" t="s">
        <v>3695</v>
      </c>
      <c r="K2" s="28" t="s">
        <v>3696</v>
      </c>
      <c r="L2" s="28" t="s">
        <v>3697</v>
      </c>
      <c r="M2" s="28" t="s">
        <v>3698</v>
      </c>
      <c r="N2" s="33" t="s">
        <v>3699</v>
      </c>
      <c r="O2" s="28" t="s">
        <v>3700</v>
      </c>
      <c r="P2" s="28" t="s">
        <v>3701</v>
      </c>
      <c r="Q2" s="29"/>
    </row>
    <row r="3" spans="1:17" x14ac:dyDescent="0.2">
      <c r="A3" s="28" t="s">
        <v>3692</v>
      </c>
      <c r="B3" s="29" t="str">
        <f>'[1]Calculos Indicadores'!C3</f>
        <v>F.2</v>
      </c>
      <c r="C3" s="29" t="b">
        <f t="shared" ref="C3:C66" si="0">D3=E3</f>
        <v>1</v>
      </c>
      <c r="D3" s="30" t="str">
        <f>Calculos!B3</f>
        <v>Gasto total en Justicia (Costo de la Justicia)</v>
      </c>
      <c r="E3" s="34" t="s">
        <v>8</v>
      </c>
      <c r="F3" s="34" t="s">
        <v>3702</v>
      </c>
      <c r="G3" s="34" t="s">
        <v>3703</v>
      </c>
      <c r="H3" s="32" t="s">
        <v>3704</v>
      </c>
      <c r="I3" s="34" t="s">
        <v>8</v>
      </c>
      <c r="J3" s="28" t="s">
        <v>3695</v>
      </c>
      <c r="K3" s="28" t="s">
        <v>3696</v>
      </c>
      <c r="L3" s="28" t="s">
        <v>3697</v>
      </c>
      <c r="M3" s="28" t="s">
        <v>3698</v>
      </c>
      <c r="N3" s="33" t="s">
        <v>3699</v>
      </c>
      <c r="O3" s="28" t="s">
        <v>3700</v>
      </c>
      <c r="P3" s="28" t="s">
        <v>3701</v>
      </c>
      <c r="Q3" s="29"/>
    </row>
    <row r="4" spans="1:17" x14ac:dyDescent="0.2">
      <c r="A4" s="28" t="s">
        <v>3692</v>
      </c>
      <c r="B4" s="29" t="str">
        <f>'[1]Calculos Indicadores'!C4</f>
        <v>F.3</v>
      </c>
      <c r="C4" s="29" t="b">
        <f t="shared" si="0"/>
        <v>1</v>
      </c>
      <c r="D4" s="30" t="str">
        <f>Calculos!B4</f>
        <v>Gasto pago de personal del Poder Judicial</v>
      </c>
      <c r="E4" s="34" t="s">
        <v>37</v>
      </c>
      <c r="F4" s="34" t="s">
        <v>3702</v>
      </c>
      <c r="G4" s="34" t="s">
        <v>3705</v>
      </c>
      <c r="H4" s="32" t="s">
        <v>3704</v>
      </c>
      <c r="I4" s="34" t="s">
        <v>37</v>
      </c>
      <c r="J4" s="28" t="s">
        <v>3695</v>
      </c>
      <c r="K4" s="28" t="s">
        <v>3696</v>
      </c>
      <c r="L4" s="28" t="s">
        <v>3697</v>
      </c>
      <c r="M4" s="28" t="s">
        <v>3698</v>
      </c>
      <c r="N4" s="33" t="s">
        <v>3699</v>
      </c>
      <c r="O4" s="28" t="s">
        <v>3700</v>
      </c>
      <c r="P4" s="28" t="s">
        <v>3701</v>
      </c>
      <c r="Q4" s="29"/>
    </row>
    <row r="5" spans="1:17" ht="89.25" x14ac:dyDescent="0.2">
      <c r="A5" s="28" t="s">
        <v>3706</v>
      </c>
      <c r="B5" s="29">
        <v>1</v>
      </c>
      <c r="C5" s="29" t="b">
        <f t="shared" si="0"/>
        <v>1</v>
      </c>
      <c r="D5" s="30" t="str">
        <f>Calculos!B5</f>
        <v>% Gasto en justicia respecto del  Gasto público del Gobierno Central</v>
      </c>
      <c r="E5" s="35" t="s">
        <v>2989</v>
      </c>
      <c r="F5" s="28" t="s">
        <v>3702</v>
      </c>
      <c r="G5" s="28" t="s">
        <v>3707</v>
      </c>
      <c r="H5" s="28" t="s">
        <v>3708</v>
      </c>
      <c r="I5" s="28" t="s">
        <v>3709</v>
      </c>
      <c r="J5" s="28" t="s">
        <v>3710</v>
      </c>
      <c r="K5" s="28" t="s">
        <v>3696</v>
      </c>
      <c r="L5" s="28" t="s">
        <v>3711</v>
      </c>
      <c r="M5" s="28" t="s">
        <v>3698</v>
      </c>
      <c r="N5" s="36" t="s">
        <v>3712</v>
      </c>
      <c r="O5" s="28" t="s">
        <v>3700</v>
      </c>
      <c r="P5" s="28" t="s">
        <v>3701</v>
      </c>
      <c r="Q5" s="28" t="s">
        <v>3713</v>
      </c>
    </row>
    <row r="6" spans="1:17" ht="63.75" x14ac:dyDescent="0.2">
      <c r="A6" s="28" t="s">
        <v>3714</v>
      </c>
      <c r="B6" s="29">
        <v>1</v>
      </c>
      <c r="C6" s="29" t="b">
        <f t="shared" si="0"/>
        <v>1</v>
      </c>
      <c r="D6" s="30" t="str">
        <f>Calculos!B6</f>
        <v>% Gasto en justicia del programa 926 Dirección, Administ. y Otros Org. de Apoyo Jurisd. respecto del  Gasto público del Gobierno Central</v>
      </c>
      <c r="E6" s="35" t="s">
        <v>2990</v>
      </c>
      <c r="F6" s="28" t="s">
        <v>3702</v>
      </c>
      <c r="G6" s="28" t="s">
        <v>3715</v>
      </c>
      <c r="H6" s="36" t="s">
        <v>3716</v>
      </c>
      <c r="I6" s="28" t="s">
        <v>3717</v>
      </c>
      <c r="J6" s="28" t="s">
        <v>3710</v>
      </c>
      <c r="K6" s="28" t="s">
        <v>3696</v>
      </c>
      <c r="L6" s="28" t="s">
        <v>3718</v>
      </c>
      <c r="M6" s="28" t="s">
        <v>3698</v>
      </c>
      <c r="N6" s="28" t="s">
        <v>3712</v>
      </c>
      <c r="O6" s="28" t="s">
        <v>3700</v>
      </c>
      <c r="P6" s="28" t="s">
        <v>3701</v>
      </c>
      <c r="Q6" s="28" t="s">
        <v>3719</v>
      </c>
    </row>
    <row r="7" spans="1:17" ht="63.75" x14ac:dyDescent="0.2">
      <c r="A7" s="28" t="s">
        <v>3720</v>
      </c>
      <c r="B7" s="29" t="str">
        <f>'[1]Calculos Indicadores'!C7</f>
        <v>1.1.2</v>
      </c>
      <c r="C7" s="29" t="b">
        <f t="shared" si="0"/>
        <v>1</v>
      </c>
      <c r="D7" s="30" t="str">
        <f>Calculos!B7</f>
        <v>% Gasto en justicia del programa 927 Servicio Jurisdiccional  respecto del  Gasto público del Gobierno Central</v>
      </c>
      <c r="E7" s="35" t="s">
        <v>2991</v>
      </c>
      <c r="F7" s="28" t="s">
        <v>3702</v>
      </c>
      <c r="G7" s="28" t="s">
        <v>3721</v>
      </c>
      <c r="H7" s="36" t="s">
        <v>3722</v>
      </c>
      <c r="I7" s="28" t="s">
        <v>3723</v>
      </c>
      <c r="J7" s="28" t="s">
        <v>3710</v>
      </c>
      <c r="K7" s="28" t="s">
        <v>3696</v>
      </c>
      <c r="L7" s="28" t="s">
        <v>3718</v>
      </c>
      <c r="M7" s="28" t="s">
        <v>3698</v>
      </c>
      <c r="N7" s="28" t="s">
        <v>3712</v>
      </c>
      <c r="O7" s="28" t="s">
        <v>3700</v>
      </c>
      <c r="P7" s="28" t="s">
        <v>3701</v>
      </c>
      <c r="Q7" s="28"/>
    </row>
    <row r="8" spans="1:17" ht="63.75" x14ac:dyDescent="0.2">
      <c r="A8" s="28" t="s">
        <v>3724</v>
      </c>
      <c r="B8" s="29" t="str">
        <f>'[1]Calculos Indicadores'!C8</f>
        <v>1.1.3</v>
      </c>
      <c r="C8" s="29" t="b">
        <f t="shared" si="0"/>
        <v>1</v>
      </c>
      <c r="D8" s="30" t="str">
        <f>Calculos!B8</f>
        <v>% Gasto en justicia del programa 928 Servicio Organismo de Investigación Judicial  respecto del  Gasto público del Gobierno Central</v>
      </c>
      <c r="E8" s="35" t="s">
        <v>2992</v>
      </c>
      <c r="F8" s="28" t="s">
        <v>3702</v>
      </c>
      <c r="G8" s="28" t="s">
        <v>3725</v>
      </c>
      <c r="H8" s="36" t="s">
        <v>3726</v>
      </c>
      <c r="I8" s="28" t="s">
        <v>3727</v>
      </c>
      <c r="J8" s="28" t="s">
        <v>3710</v>
      </c>
      <c r="K8" s="28" t="s">
        <v>3696</v>
      </c>
      <c r="L8" s="28" t="s">
        <v>3718</v>
      </c>
      <c r="M8" s="28" t="s">
        <v>3698</v>
      </c>
      <c r="N8" s="28" t="s">
        <v>3712</v>
      </c>
      <c r="O8" s="28" t="s">
        <v>3700</v>
      </c>
      <c r="P8" s="28" t="s">
        <v>3701</v>
      </c>
      <c r="Q8" s="28"/>
    </row>
    <row r="9" spans="1:17" ht="63.75" x14ac:dyDescent="0.2">
      <c r="A9" s="28" t="s">
        <v>3728</v>
      </c>
      <c r="B9" s="29" t="str">
        <f>'[1]Calculos Indicadores'!C9</f>
        <v>1.1.4</v>
      </c>
      <c r="C9" s="29" t="b">
        <f t="shared" si="0"/>
        <v>1</v>
      </c>
      <c r="D9" s="30" t="str">
        <f>Calculos!B9</f>
        <v>% Gasto en justicia del programa 929 Ministerio Público respecto del  Gasto público del Gobierno Central</v>
      </c>
      <c r="E9" s="35" t="s">
        <v>2993</v>
      </c>
      <c r="F9" s="28" t="s">
        <v>3702</v>
      </c>
      <c r="G9" s="28" t="s">
        <v>3729</v>
      </c>
      <c r="H9" s="28" t="s">
        <v>3730</v>
      </c>
      <c r="I9" s="28" t="s">
        <v>3731</v>
      </c>
      <c r="J9" s="28" t="s">
        <v>3710</v>
      </c>
      <c r="K9" s="28" t="s">
        <v>3696</v>
      </c>
      <c r="L9" s="28" t="s">
        <v>3718</v>
      </c>
      <c r="M9" s="28" t="s">
        <v>3698</v>
      </c>
      <c r="N9" s="28" t="s">
        <v>3712</v>
      </c>
      <c r="O9" s="28" t="s">
        <v>3700</v>
      </c>
      <c r="P9" s="28" t="s">
        <v>3701</v>
      </c>
      <c r="Q9" s="28"/>
    </row>
    <row r="10" spans="1:17" ht="63.75" x14ac:dyDescent="0.2">
      <c r="A10" s="28" t="s">
        <v>3732</v>
      </c>
      <c r="B10" s="29" t="str">
        <f>'[1]Calculos Indicadores'!C10</f>
        <v>1.1.5</v>
      </c>
      <c r="C10" s="29" t="b">
        <f t="shared" si="0"/>
        <v>1</v>
      </c>
      <c r="D10" s="30" t="str">
        <f>Calculos!B10</f>
        <v>% Gasto en justicia del programa 930 Defensa Pública respecto del  Gasto público del  Gobierno Central</v>
      </c>
      <c r="E10" s="35" t="s">
        <v>2994</v>
      </c>
      <c r="F10" s="28" t="s">
        <v>3702</v>
      </c>
      <c r="G10" s="28" t="s">
        <v>3733</v>
      </c>
      <c r="H10" s="28" t="s">
        <v>3734</v>
      </c>
      <c r="I10" s="28" t="s">
        <v>3735</v>
      </c>
      <c r="J10" s="28" t="s">
        <v>3710</v>
      </c>
      <c r="K10" s="28" t="s">
        <v>3696</v>
      </c>
      <c r="L10" s="28" t="s">
        <v>3718</v>
      </c>
      <c r="M10" s="28" t="s">
        <v>3698</v>
      </c>
      <c r="N10" s="28" t="s">
        <v>3712</v>
      </c>
      <c r="O10" s="28" t="s">
        <v>3700</v>
      </c>
      <c r="P10" s="28" t="s">
        <v>3701</v>
      </c>
      <c r="Q10" s="28"/>
    </row>
    <row r="11" spans="1:17" ht="63.75" x14ac:dyDescent="0.2">
      <c r="A11" s="28" t="s">
        <v>3736</v>
      </c>
      <c r="B11" s="29" t="str">
        <f>'[1]Calculos Indicadores'!C11</f>
        <v>1.1.6</v>
      </c>
      <c r="C11" s="29" t="b">
        <f t="shared" si="0"/>
        <v>1</v>
      </c>
      <c r="D11" s="30" t="str">
        <f>Calculos!B11</f>
        <v>% Gasto en justicia del programa 950 Servicio de Atención y Protección a Víctimas y Testigos respecto del  Gasto público del Gobierno Central</v>
      </c>
      <c r="E11" s="35" t="s">
        <v>2995</v>
      </c>
      <c r="F11" s="28" t="s">
        <v>3702</v>
      </c>
      <c r="G11" s="28" t="s">
        <v>3737</v>
      </c>
      <c r="H11" s="28" t="s">
        <v>3738</v>
      </c>
      <c r="I11" s="28" t="s">
        <v>3739</v>
      </c>
      <c r="J11" s="28" t="s">
        <v>3710</v>
      </c>
      <c r="K11" s="28" t="s">
        <v>3696</v>
      </c>
      <c r="L11" s="28" t="s">
        <v>3718</v>
      </c>
      <c r="M11" s="28" t="s">
        <v>3698</v>
      </c>
      <c r="N11" s="28" t="s">
        <v>3712</v>
      </c>
      <c r="O11" s="28" t="s">
        <v>3740</v>
      </c>
      <c r="P11" s="28" t="s">
        <v>3701</v>
      </c>
      <c r="Q11" s="28"/>
    </row>
    <row r="12" spans="1:17" ht="63.75" x14ac:dyDescent="0.2">
      <c r="A12" s="28" t="s">
        <v>3741</v>
      </c>
      <c r="B12" s="29" t="str">
        <f>'[1]Calculos Indicadores'!C12</f>
        <v>1.1.7</v>
      </c>
      <c r="C12" s="29" t="b">
        <f t="shared" si="0"/>
        <v>1</v>
      </c>
      <c r="D12" s="30" t="str">
        <f>Calculos!B12</f>
        <v>% Gasto en justicia de otros programas (931,932,942,801) respecto del  Gasto público del Gobierno Central</v>
      </c>
      <c r="E12" s="35" t="s">
        <v>2996</v>
      </c>
      <c r="F12" s="28" t="s">
        <v>3702</v>
      </c>
      <c r="G12" s="28" t="s">
        <v>3742</v>
      </c>
      <c r="H12" s="28" t="s">
        <v>3743</v>
      </c>
      <c r="I12" s="28" t="s">
        <v>3744</v>
      </c>
      <c r="J12" s="28" t="s">
        <v>3710</v>
      </c>
      <c r="K12" s="28" t="s">
        <v>3696</v>
      </c>
      <c r="L12" s="28" t="s">
        <v>3718</v>
      </c>
      <c r="M12" s="28" t="s">
        <v>3698</v>
      </c>
      <c r="N12" s="28" t="s">
        <v>3712</v>
      </c>
      <c r="O12" s="28" t="s">
        <v>3745</v>
      </c>
      <c r="P12" s="28" t="s">
        <v>3701</v>
      </c>
      <c r="Q12" s="28"/>
    </row>
    <row r="13" spans="1:17" ht="63.75" x14ac:dyDescent="0.2">
      <c r="A13" s="28"/>
      <c r="B13" s="29" t="str">
        <f>'[1]Calculos Indicadores'!C13</f>
        <v>1.1.8</v>
      </c>
      <c r="C13" s="29" t="b">
        <f t="shared" si="0"/>
        <v>1</v>
      </c>
      <c r="D13" s="30" t="str">
        <f>Calculos!B13</f>
        <v>Gasto en justicia en colones por habitante</v>
      </c>
      <c r="E13" s="37" t="s">
        <v>2997</v>
      </c>
      <c r="F13" s="37" t="s">
        <v>3702</v>
      </c>
      <c r="G13" s="28" t="s">
        <v>3746</v>
      </c>
      <c r="H13" s="28" t="s">
        <v>3747</v>
      </c>
      <c r="I13" s="28" t="s">
        <v>3748</v>
      </c>
      <c r="J13" s="28" t="s">
        <v>3695</v>
      </c>
      <c r="K13" s="28" t="s">
        <v>3696</v>
      </c>
      <c r="L13" s="28" t="s">
        <v>3697</v>
      </c>
      <c r="M13" s="28" t="s">
        <v>3698</v>
      </c>
      <c r="N13" s="36" t="s">
        <v>3749</v>
      </c>
      <c r="O13" s="28" t="s">
        <v>3700</v>
      </c>
      <c r="P13" s="28" t="s">
        <v>3701</v>
      </c>
      <c r="Q13" s="28"/>
    </row>
    <row r="14" spans="1:17" ht="76.5" x14ac:dyDescent="0.2">
      <c r="A14" s="28"/>
      <c r="B14" s="29" t="str">
        <f>'[1]Calculos Indicadores'!C14</f>
        <v>1.1.9</v>
      </c>
      <c r="C14" s="29" t="b">
        <f t="shared" si="0"/>
        <v>1</v>
      </c>
      <c r="D14" s="30" t="str">
        <f>Calculos!B14</f>
        <v>Gasto en justicia en dólares por habitante</v>
      </c>
      <c r="E14" s="37" t="s">
        <v>2998</v>
      </c>
      <c r="F14" s="37" t="s">
        <v>3702</v>
      </c>
      <c r="G14" s="28" t="s">
        <v>3750</v>
      </c>
      <c r="H14" s="28" t="s">
        <v>3751</v>
      </c>
      <c r="I14" s="28" t="s">
        <v>3752</v>
      </c>
      <c r="J14" s="28" t="s">
        <v>3753</v>
      </c>
      <c r="K14" s="28" t="s">
        <v>3696</v>
      </c>
      <c r="L14" s="28" t="s">
        <v>3697</v>
      </c>
      <c r="M14" s="28" t="s">
        <v>3698</v>
      </c>
      <c r="N14" s="36" t="s">
        <v>3754</v>
      </c>
      <c r="O14" s="28" t="s">
        <v>3700</v>
      </c>
      <c r="P14" s="28" t="s">
        <v>3701</v>
      </c>
      <c r="Q14" s="28" t="s">
        <v>3755</v>
      </c>
    </row>
    <row r="15" spans="1:17" ht="51" x14ac:dyDescent="0.2">
      <c r="A15" s="28" t="s">
        <v>3756</v>
      </c>
      <c r="B15" s="29" t="str">
        <f>'[1]Calculos Indicadores'!C15</f>
        <v>1.2.1</v>
      </c>
      <c r="C15" s="29" t="b">
        <f t="shared" si="0"/>
        <v>1</v>
      </c>
      <c r="D15" s="30" t="str">
        <f>Calculos!B15</f>
        <v>% Del costo del programa 926 Dirección, Administ. Y otros Org. de Apoyo Jurisd respecto del costo de la justicia</v>
      </c>
      <c r="E15" s="28" t="s">
        <v>2999</v>
      </c>
      <c r="F15" s="28" t="s">
        <v>3702</v>
      </c>
      <c r="G15" s="28" t="s">
        <v>3757</v>
      </c>
      <c r="H15" s="28" t="s">
        <v>3758</v>
      </c>
      <c r="I15" s="28" t="s">
        <v>3759</v>
      </c>
      <c r="J15" s="28" t="s">
        <v>3710</v>
      </c>
      <c r="K15" s="28" t="s">
        <v>3696</v>
      </c>
      <c r="L15" s="28" t="s">
        <v>3718</v>
      </c>
      <c r="M15" s="28" t="s">
        <v>3698</v>
      </c>
      <c r="N15" s="33" t="s">
        <v>3699</v>
      </c>
      <c r="O15" s="28" t="s">
        <v>3700</v>
      </c>
      <c r="P15" s="28" t="s">
        <v>3701</v>
      </c>
      <c r="Q15" s="28" t="s">
        <v>3719</v>
      </c>
    </row>
    <row r="16" spans="1:17" ht="38.25" x14ac:dyDescent="0.2">
      <c r="A16" s="28" t="s">
        <v>3760</v>
      </c>
      <c r="B16" s="29" t="str">
        <f>'[1]Calculos Indicadores'!C16</f>
        <v>1.2.2</v>
      </c>
      <c r="C16" s="29" t="b">
        <f t="shared" si="0"/>
        <v>1</v>
      </c>
      <c r="D16" s="30" t="str">
        <f>Calculos!B16</f>
        <v>% Del costo del programa 927 Servicio Jurisdiccional respecto del costo de la justicia</v>
      </c>
      <c r="E16" s="28" t="s">
        <v>3000</v>
      </c>
      <c r="F16" s="28" t="s">
        <v>3702</v>
      </c>
      <c r="G16" s="28" t="s">
        <v>3761</v>
      </c>
      <c r="H16" s="36" t="s">
        <v>3762</v>
      </c>
      <c r="I16" s="28" t="s">
        <v>3763</v>
      </c>
      <c r="J16" s="28" t="s">
        <v>3710</v>
      </c>
      <c r="K16" s="28" t="s">
        <v>3696</v>
      </c>
      <c r="L16" s="28" t="s">
        <v>3718</v>
      </c>
      <c r="M16" s="28" t="s">
        <v>3698</v>
      </c>
      <c r="N16" s="33" t="s">
        <v>3699</v>
      </c>
      <c r="O16" s="28" t="s">
        <v>3700</v>
      </c>
      <c r="P16" s="28" t="s">
        <v>3701</v>
      </c>
      <c r="Q16" s="28"/>
    </row>
    <row r="17" spans="1:17" ht="51" x14ac:dyDescent="0.2">
      <c r="A17" s="28" t="s">
        <v>3764</v>
      </c>
      <c r="B17" s="29" t="str">
        <f>'[1]Calculos Indicadores'!C17</f>
        <v>1.2.3</v>
      </c>
      <c r="C17" s="29" t="b">
        <f t="shared" si="0"/>
        <v>1</v>
      </c>
      <c r="D17" s="30" t="str">
        <f>Calculos!B17</f>
        <v>% Del costo del programa 928 Organismo de investigación Judicial respecto del costo de la justicia</v>
      </c>
      <c r="E17" s="28" t="s">
        <v>3001</v>
      </c>
      <c r="F17" s="28" t="s">
        <v>3702</v>
      </c>
      <c r="G17" s="28" t="s">
        <v>3765</v>
      </c>
      <c r="H17" s="28" t="s">
        <v>3766</v>
      </c>
      <c r="I17" s="28" t="s">
        <v>3767</v>
      </c>
      <c r="J17" s="28" t="s">
        <v>3710</v>
      </c>
      <c r="K17" s="28" t="s">
        <v>3696</v>
      </c>
      <c r="L17" s="28" t="s">
        <v>3718</v>
      </c>
      <c r="M17" s="28" t="s">
        <v>3698</v>
      </c>
      <c r="N17" s="33" t="s">
        <v>3699</v>
      </c>
      <c r="O17" s="28" t="s">
        <v>3700</v>
      </c>
      <c r="P17" s="28" t="s">
        <v>3701</v>
      </c>
      <c r="Q17" s="28"/>
    </row>
    <row r="18" spans="1:17" ht="38.25" x14ac:dyDescent="0.2">
      <c r="A18" s="28" t="s">
        <v>3768</v>
      </c>
      <c r="B18" s="29" t="str">
        <f>'[1]Calculos Indicadores'!C18</f>
        <v>1.2.4</v>
      </c>
      <c r="C18" s="29" t="b">
        <f t="shared" si="0"/>
        <v>1</v>
      </c>
      <c r="D18" s="30" t="str">
        <f>Calculos!B18</f>
        <v>% Del costo del programa 929 Ministerio Público respecto del costo de la justicia</v>
      </c>
      <c r="E18" s="28" t="s">
        <v>3002</v>
      </c>
      <c r="F18" s="28" t="s">
        <v>3702</v>
      </c>
      <c r="G18" s="28" t="s">
        <v>3769</v>
      </c>
      <c r="H18" s="28" t="s">
        <v>3770</v>
      </c>
      <c r="I18" s="28" t="s">
        <v>3771</v>
      </c>
      <c r="J18" s="28" t="s">
        <v>3710</v>
      </c>
      <c r="K18" s="28" t="s">
        <v>3696</v>
      </c>
      <c r="L18" s="28" t="s">
        <v>3718</v>
      </c>
      <c r="M18" s="28" t="s">
        <v>3698</v>
      </c>
      <c r="N18" s="33" t="s">
        <v>3699</v>
      </c>
      <c r="O18" s="28" t="s">
        <v>3700</v>
      </c>
      <c r="P18" s="28" t="s">
        <v>3701</v>
      </c>
      <c r="Q18" s="28"/>
    </row>
    <row r="19" spans="1:17" ht="38.25" x14ac:dyDescent="0.2">
      <c r="A19" s="28" t="s">
        <v>3772</v>
      </c>
      <c r="B19" s="29" t="str">
        <f>'[1]Calculos Indicadores'!C19</f>
        <v>1.2.5</v>
      </c>
      <c r="C19" s="29" t="b">
        <f t="shared" si="0"/>
        <v>1</v>
      </c>
      <c r="D19" s="30" t="str">
        <f>Calculos!B19</f>
        <v>% Del costo del programa 930 Defensa Pública respecto del costo de la justicia</v>
      </c>
      <c r="E19" s="28" t="s">
        <v>3003</v>
      </c>
      <c r="F19" s="28" t="s">
        <v>3702</v>
      </c>
      <c r="G19" s="28" t="s">
        <v>3773</v>
      </c>
      <c r="H19" s="28" t="s">
        <v>3774</v>
      </c>
      <c r="I19" s="28" t="s">
        <v>3775</v>
      </c>
      <c r="J19" s="28" t="s">
        <v>3710</v>
      </c>
      <c r="K19" s="28" t="s">
        <v>3696</v>
      </c>
      <c r="L19" s="28" t="s">
        <v>3718</v>
      </c>
      <c r="M19" s="28" t="s">
        <v>3698</v>
      </c>
      <c r="N19" s="33" t="s">
        <v>3699</v>
      </c>
      <c r="O19" s="28" t="s">
        <v>3700</v>
      </c>
      <c r="P19" s="28" t="s">
        <v>3701</v>
      </c>
      <c r="Q19" s="28"/>
    </row>
    <row r="20" spans="1:17" ht="51" x14ac:dyDescent="0.2">
      <c r="A20" s="28" t="s">
        <v>3776</v>
      </c>
      <c r="B20" s="29" t="str">
        <f>'[1]Calculos Indicadores'!C20</f>
        <v>1.2.6</v>
      </c>
      <c r="C20" s="29" t="b">
        <f t="shared" si="0"/>
        <v>1</v>
      </c>
      <c r="D20" s="30" t="str">
        <f>Calculos!B20</f>
        <v>% Del costo del programa 950 Servicio de Atención y Protección a Víctimas y Testigos respecto del costo de la justicia</v>
      </c>
      <c r="E20" s="28" t="s">
        <v>3777</v>
      </c>
      <c r="F20" s="28" t="s">
        <v>3702</v>
      </c>
      <c r="G20" s="28" t="s">
        <v>3778</v>
      </c>
      <c r="H20" s="28" t="s">
        <v>3779</v>
      </c>
      <c r="I20" s="28" t="s">
        <v>3780</v>
      </c>
      <c r="J20" s="28" t="s">
        <v>3710</v>
      </c>
      <c r="K20" s="28" t="s">
        <v>3696</v>
      </c>
      <c r="L20" s="28" t="s">
        <v>3718</v>
      </c>
      <c r="M20" s="28" t="s">
        <v>3698</v>
      </c>
      <c r="N20" s="33" t="s">
        <v>3699</v>
      </c>
      <c r="O20" s="28" t="s">
        <v>3740</v>
      </c>
      <c r="P20" s="28" t="s">
        <v>3701</v>
      </c>
      <c r="Q20" s="28"/>
    </row>
    <row r="21" spans="1:17" ht="51" x14ac:dyDescent="0.2">
      <c r="A21" s="28" t="s">
        <v>3781</v>
      </c>
      <c r="B21" s="29" t="str">
        <f>'[1]Calculos Indicadores'!C21</f>
        <v>1.2.7</v>
      </c>
      <c r="C21" s="29" t="b">
        <f t="shared" si="0"/>
        <v>1</v>
      </c>
      <c r="D21" s="30" t="str">
        <f>Calculos!B21</f>
        <v>% Del costo de otros programas (931,932,942,801) respecto del costo de la justicia</v>
      </c>
      <c r="E21" s="28" t="s">
        <v>3005</v>
      </c>
      <c r="F21" s="28" t="s">
        <v>3702</v>
      </c>
      <c r="G21" s="28" t="s">
        <v>3782</v>
      </c>
      <c r="H21" s="28" t="s">
        <v>3783</v>
      </c>
      <c r="I21" s="28" t="s">
        <v>3784</v>
      </c>
      <c r="J21" s="28" t="s">
        <v>3710</v>
      </c>
      <c r="K21" s="28" t="s">
        <v>3696</v>
      </c>
      <c r="L21" s="28" t="s">
        <v>3718</v>
      </c>
      <c r="M21" s="28" t="s">
        <v>3698</v>
      </c>
      <c r="N21" s="33" t="s">
        <v>3699</v>
      </c>
      <c r="O21" s="28" t="s">
        <v>3745</v>
      </c>
      <c r="P21" s="28" t="s">
        <v>3701</v>
      </c>
      <c r="Q21" s="28"/>
    </row>
    <row r="22" spans="1:17" ht="63.75" x14ac:dyDescent="0.2">
      <c r="A22" s="28" t="s">
        <v>3785</v>
      </c>
      <c r="B22" s="29" t="str">
        <f>'[1]Calculos Indicadores'!C22</f>
        <v>1.3</v>
      </c>
      <c r="C22" s="29" t="b">
        <f t="shared" si="0"/>
        <v>1</v>
      </c>
      <c r="D22" s="30" t="str">
        <f>Calculos!B22</f>
        <v>% Gasto total en justicia respecto de los Ingresos Corrientes del Gobierno Central</v>
      </c>
      <c r="E22" s="28" t="s">
        <v>3006</v>
      </c>
      <c r="F22" s="28" t="s">
        <v>3702</v>
      </c>
      <c r="G22" s="28" t="s">
        <v>3786</v>
      </c>
      <c r="H22" s="28" t="s">
        <v>3787</v>
      </c>
      <c r="I22" s="28" t="s">
        <v>3788</v>
      </c>
      <c r="J22" s="28" t="s">
        <v>3710</v>
      </c>
      <c r="K22" s="28" t="s">
        <v>3696</v>
      </c>
      <c r="L22" s="28" t="s">
        <v>3697</v>
      </c>
      <c r="M22" s="28" t="s">
        <v>3698</v>
      </c>
      <c r="N22" s="28" t="s">
        <v>3712</v>
      </c>
      <c r="O22" s="28" t="s">
        <v>3700</v>
      </c>
      <c r="P22" s="28" t="s">
        <v>3701</v>
      </c>
      <c r="Q22" s="36" t="s">
        <v>3789</v>
      </c>
    </row>
    <row r="23" spans="1:17" ht="63.75" x14ac:dyDescent="0.2">
      <c r="A23" s="28" t="s">
        <v>3790</v>
      </c>
      <c r="B23" s="29" t="str">
        <f>'[1]Calculos Indicadores'!C23</f>
        <v>1.4</v>
      </c>
      <c r="C23" s="29" t="b">
        <f t="shared" si="0"/>
        <v>1</v>
      </c>
      <c r="D23" s="30" t="str">
        <f>Calculos!B23</f>
        <v>% Presupuesto aprobado para el Poder Judicial con respecto a los Ingresos Corrientes del Gobierno Central</v>
      </c>
      <c r="E23" s="28" t="s">
        <v>3007</v>
      </c>
      <c r="F23" s="28" t="s">
        <v>3693</v>
      </c>
      <c r="G23" s="28" t="s">
        <v>3791</v>
      </c>
      <c r="H23" s="38" t="s">
        <v>3792</v>
      </c>
      <c r="I23" s="28" t="s">
        <v>3793</v>
      </c>
      <c r="J23" s="28" t="s">
        <v>3710</v>
      </c>
      <c r="K23" s="28" t="s">
        <v>3696</v>
      </c>
      <c r="L23" s="28" t="s">
        <v>3697</v>
      </c>
      <c r="M23" s="28" t="s">
        <v>3698</v>
      </c>
      <c r="N23" s="28" t="s">
        <v>3712</v>
      </c>
      <c r="O23" s="28" t="s">
        <v>3700</v>
      </c>
      <c r="P23" s="28" t="s">
        <v>3701</v>
      </c>
      <c r="Q23" s="36" t="s">
        <v>3794</v>
      </c>
    </row>
    <row r="24" spans="1:17" ht="38.25" x14ac:dyDescent="0.2">
      <c r="A24" s="28" t="s">
        <v>3795</v>
      </c>
      <c r="B24" s="29" t="str">
        <f>'[1]Calculos Indicadores'!C24</f>
        <v>1.5</v>
      </c>
      <c r="C24" s="29" t="b">
        <f t="shared" si="0"/>
        <v>1</v>
      </c>
      <c r="D24" s="30" t="str">
        <f>Calculos!B24</f>
        <v>% de variación del presupuesto actual con respecto al presupuesto aprobado por la Asamblea Legislativa</v>
      </c>
      <c r="E24" s="28" t="s">
        <v>3008</v>
      </c>
      <c r="F24" s="28" t="s">
        <v>3693</v>
      </c>
      <c r="G24" s="28" t="s">
        <v>3796</v>
      </c>
      <c r="H24" s="39" t="s">
        <v>3797</v>
      </c>
      <c r="I24" s="28" t="s">
        <v>3798</v>
      </c>
      <c r="J24" s="28" t="s">
        <v>3710</v>
      </c>
      <c r="K24" s="28" t="s">
        <v>3696</v>
      </c>
      <c r="L24" s="28" t="s">
        <v>3697</v>
      </c>
      <c r="M24" s="28" t="s">
        <v>3698</v>
      </c>
      <c r="N24" s="33" t="s">
        <v>3699</v>
      </c>
      <c r="O24" s="28" t="s">
        <v>3700</v>
      </c>
      <c r="P24" s="28" t="s">
        <v>3701</v>
      </c>
      <c r="Q24" s="36"/>
    </row>
    <row r="25" spans="1:17" ht="89.25" x14ac:dyDescent="0.2">
      <c r="A25" s="28" t="s">
        <v>3799</v>
      </c>
      <c r="B25" s="29" t="str">
        <f>'[1]Calculos Indicadores'!C25</f>
        <v>1.6</v>
      </c>
      <c r="C25" s="29" t="b">
        <f t="shared" si="0"/>
        <v>1</v>
      </c>
      <c r="D25" s="30" t="str">
        <f>Calculos!B25</f>
        <v>Costo promedio diario de justicia por habitante</v>
      </c>
      <c r="E25" s="28" t="s">
        <v>3009</v>
      </c>
      <c r="F25" s="28" t="s">
        <v>3702</v>
      </c>
      <c r="G25" s="28" t="s">
        <v>3800</v>
      </c>
      <c r="H25" s="39" t="s">
        <v>3801</v>
      </c>
      <c r="I25" s="28" t="s">
        <v>4223</v>
      </c>
      <c r="J25" s="28" t="s">
        <v>3695</v>
      </c>
      <c r="K25" s="28" t="s">
        <v>3696</v>
      </c>
      <c r="L25" s="28" t="s">
        <v>3711</v>
      </c>
      <c r="M25" s="28" t="s">
        <v>3698</v>
      </c>
      <c r="N25" s="33" t="s">
        <v>3699</v>
      </c>
      <c r="O25" s="28" t="s">
        <v>3700</v>
      </c>
      <c r="P25" s="28" t="s">
        <v>3701</v>
      </c>
      <c r="Q25" s="36"/>
    </row>
    <row r="26" spans="1:17" ht="25.5" x14ac:dyDescent="0.2">
      <c r="A26" s="28"/>
      <c r="B26" s="29" t="str">
        <f>'[1]Calculos Indicadores'!C26</f>
        <v>1.6.1</v>
      </c>
      <c r="C26" s="29" t="b">
        <f t="shared" si="0"/>
        <v>1</v>
      </c>
      <c r="D26" s="30" t="str">
        <f>Calculos!B26</f>
        <v>Costo promedio diario de justicia por habitante programa 926 Dirección, Administ. y Otros Org. de Apoyo Jurisd</v>
      </c>
      <c r="E26" s="40" t="s">
        <v>3010</v>
      </c>
      <c r="F26" s="40" t="s">
        <v>3702</v>
      </c>
      <c r="G26" s="28" t="s">
        <v>3802</v>
      </c>
      <c r="H26" s="39" t="s">
        <v>3803</v>
      </c>
      <c r="I26" s="28" t="s">
        <v>4224</v>
      </c>
      <c r="J26" s="28" t="s">
        <v>3695</v>
      </c>
      <c r="K26" s="28" t="s">
        <v>3696</v>
      </c>
      <c r="L26" s="28" t="s">
        <v>3718</v>
      </c>
      <c r="M26" s="28" t="s">
        <v>3698</v>
      </c>
      <c r="N26" s="33" t="s">
        <v>3699</v>
      </c>
      <c r="O26" s="28" t="s">
        <v>3700</v>
      </c>
      <c r="P26" s="28" t="s">
        <v>3701</v>
      </c>
      <c r="Q26" s="36"/>
    </row>
    <row r="27" spans="1:17" ht="25.5" x14ac:dyDescent="0.2">
      <c r="A27" s="28"/>
      <c r="B27" s="29" t="str">
        <f>'[1]Calculos Indicadores'!C27</f>
        <v>1.6.2</v>
      </c>
      <c r="C27" s="29" t="b">
        <f t="shared" si="0"/>
        <v>1</v>
      </c>
      <c r="D27" s="30" t="str">
        <f>Calculos!B27</f>
        <v>Costo promedio diario de justicia por habitante programa 927 Servicio Jurisdiccional</v>
      </c>
      <c r="E27" s="40" t="s">
        <v>3011</v>
      </c>
      <c r="F27" s="40" t="s">
        <v>3702</v>
      </c>
      <c r="G27" s="28" t="s">
        <v>3802</v>
      </c>
      <c r="H27" s="39" t="s">
        <v>3804</v>
      </c>
      <c r="I27" s="28" t="s">
        <v>4225</v>
      </c>
      <c r="J27" s="28" t="s">
        <v>3695</v>
      </c>
      <c r="K27" s="28" t="s">
        <v>3696</v>
      </c>
      <c r="L27" s="28" t="s">
        <v>3718</v>
      </c>
      <c r="M27" s="28" t="s">
        <v>3698</v>
      </c>
      <c r="N27" s="33" t="s">
        <v>3699</v>
      </c>
      <c r="O27" s="28" t="s">
        <v>3700</v>
      </c>
      <c r="P27" s="28" t="s">
        <v>3701</v>
      </c>
      <c r="Q27" s="36"/>
    </row>
    <row r="28" spans="1:17" ht="25.5" x14ac:dyDescent="0.2">
      <c r="A28" s="28"/>
      <c r="B28" s="29" t="str">
        <f>'[1]Calculos Indicadores'!C28</f>
        <v>1.6.3</v>
      </c>
      <c r="C28" s="29" t="b">
        <f t="shared" si="0"/>
        <v>1</v>
      </c>
      <c r="D28" s="30" t="str">
        <f>Calculos!B28</f>
        <v>Costo promedio diario de justicia por habitante programa 928 Servicio Organismo de Investigación Judicial</v>
      </c>
      <c r="E28" s="40" t="s">
        <v>3012</v>
      </c>
      <c r="F28" s="40" t="s">
        <v>3702</v>
      </c>
      <c r="G28" s="28" t="s">
        <v>3802</v>
      </c>
      <c r="H28" s="39" t="s">
        <v>3805</v>
      </c>
      <c r="I28" s="28" t="s">
        <v>4226</v>
      </c>
      <c r="J28" s="28" t="s">
        <v>3695</v>
      </c>
      <c r="K28" s="28" t="s">
        <v>3696</v>
      </c>
      <c r="L28" s="28" t="s">
        <v>3718</v>
      </c>
      <c r="M28" s="28" t="s">
        <v>3698</v>
      </c>
      <c r="N28" s="33" t="s">
        <v>3699</v>
      </c>
      <c r="O28" s="28" t="s">
        <v>3700</v>
      </c>
      <c r="P28" s="28" t="s">
        <v>3701</v>
      </c>
      <c r="Q28" s="36"/>
    </row>
    <row r="29" spans="1:17" ht="25.5" x14ac:dyDescent="0.2">
      <c r="A29" s="28"/>
      <c r="B29" s="29" t="str">
        <f>'[1]Calculos Indicadores'!C29</f>
        <v>1.6.4</v>
      </c>
      <c r="C29" s="29" t="b">
        <f t="shared" si="0"/>
        <v>1</v>
      </c>
      <c r="D29" s="30" t="str">
        <f>Calculos!B29</f>
        <v>Costo promedio diario de justicia por habitante programa 929 Ministerio Público</v>
      </c>
      <c r="E29" s="40" t="s">
        <v>3013</v>
      </c>
      <c r="F29" s="40" t="s">
        <v>3702</v>
      </c>
      <c r="G29" s="28" t="s">
        <v>3802</v>
      </c>
      <c r="H29" s="39" t="s">
        <v>3806</v>
      </c>
      <c r="I29" s="28" t="s">
        <v>4227</v>
      </c>
      <c r="J29" s="28" t="s">
        <v>3695</v>
      </c>
      <c r="K29" s="28" t="s">
        <v>3696</v>
      </c>
      <c r="L29" s="28" t="s">
        <v>3718</v>
      </c>
      <c r="M29" s="28" t="s">
        <v>3698</v>
      </c>
      <c r="N29" s="33" t="s">
        <v>3699</v>
      </c>
      <c r="O29" s="28" t="s">
        <v>3700</v>
      </c>
      <c r="P29" s="28" t="s">
        <v>3701</v>
      </c>
      <c r="Q29" s="36"/>
    </row>
    <row r="30" spans="1:17" ht="25.5" x14ac:dyDescent="0.2">
      <c r="A30" s="28"/>
      <c r="B30" s="29" t="str">
        <f>'[1]Calculos Indicadores'!C30</f>
        <v>1.6.5</v>
      </c>
      <c r="C30" s="29" t="b">
        <f t="shared" si="0"/>
        <v>1</v>
      </c>
      <c r="D30" s="30" t="str">
        <f>Calculos!B30</f>
        <v>Costo promedio diario de justicia por habitante programa 930 Defensa Pública</v>
      </c>
      <c r="E30" s="40" t="s">
        <v>3014</v>
      </c>
      <c r="F30" s="40" t="s">
        <v>3702</v>
      </c>
      <c r="G30" s="28" t="s">
        <v>3802</v>
      </c>
      <c r="H30" s="39" t="s">
        <v>3807</v>
      </c>
      <c r="I30" s="28" t="s">
        <v>4228</v>
      </c>
      <c r="J30" s="28" t="s">
        <v>3695</v>
      </c>
      <c r="K30" s="28" t="s">
        <v>3696</v>
      </c>
      <c r="L30" s="28" t="s">
        <v>3718</v>
      </c>
      <c r="M30" s="28" t="s">
        <v>3698</v>
      </c>
      <c r="N30" s="33" t="s">
        <v>3699</v>
      </c>
      <c r="O30" s="28" t="s">
        <v>3700</v>
      </c>
      <c r="P30" s="28" t="s">
        <v>3701</v>
      </c>
      <c r="Q30" s="36"/>
    </row>
    <row r="31" spans="1:17" ht="25.5" x14ac:dyDescent="0.2">
      <c r="A31" s="28"/>
      <c r="B31" s="29" t="str">
        <f>'[1]Calculos Indicadores'!C31</f>
        <v>1.6.6</v>
      </c>
      <c r="C31" s="29" t="b">
        <f t="shared" si="0"/>
        <v>1</v>
      </c>
      <c r="D31" s="30" t="str">
        <f>Calculos!B31</f>
        <v>Costo promedio diario de justicia por habitante programa 950 Servicio de Atención y Protección a Víctimas y Testigos</v>
      </c>
      <c r="E31" s="40" t="s">
        <v>3808</v>
      </c>
      <c r="F31" s="40" t="s">
        <v>3702</v>
      </c>
      <c r="G31" s="28" t="s">
        <v>3802</v>
      </c>
      <c r="H31" s="39" t="s">
        <v>3809</v>
      </c>
      <c r="I31" s="28" t="s">
        <v>4229</v>
      </c>
      <c r="J31" s="28" t="s">
        <v>3695</v>
      </c>
      <c r="K31" s="28" t="s">
        <v>3696</v>
      </c>
      <c r="L31" s="28" t="s">
        <v>3718</v>
      </c>
      <c r="M31" s="28" t="s">
        <v>3698</v>
      </c>
      <c r="N31" s="33" t="s">
        <v>3699</v>
      </c>
      <c r="O31" s="28" t="s">
        <v>3700</v>
      </c>
      <c r="P31" s="28" t="s">
        <v>3701</v>
      </c>
      <c r="Q31" s="36"/>
    </row>
    <row r="32" spans="1:17" ht="38.25" x14ac:dyDescent="0.2">
      <c r="A32" s="28"/>
      <c r="B32" s="29" t="str">
        <f>'[1]Calculos Indicadores'!C32</f>
        <v>1.6.7</v>
      </c>
      <c r="C32" s="29" t="b">
        <f t="shared" si="0"/>
        <v>1</v>
      </c>
      <c r="D32" s="30" t="str">
        <f>Calculos!B32</f>
        <v>Costo promedio diario de justicia por habitante de los programas 931 Servicio Notariado, 932 Servicio Justicia de Tránsito, 942 Aporte Local Préstamo 1377/OC-CR, 801 Superávit</v>
      </c>
      <c r="E32" s="40" t="s">
        <v>3016</v>
      </c>
      <c r="F32" s="40" t="s">
        <v>3702</v>
      </c>
      <c r="G32" s="28" t="s">
        <v>3802</v>
      </c>
      <c r="H32" s="39" t="s">
        <v>3810</v>
      </c>
      <c r="I32" s="28" t="s">
        <v>4230</v>
      </c>
      <c r="J32" s="28" t="s">
        <v>3695</v>
      </c>
      <c r="K32" s="28" t="s">
        <v>3696</v>
      </c>
      <c r="L32" s="28" t="s">
        <v>3718</v>
      </c>
      <c r="M32" s="28" t="s">
        <v>3698</v>
      </c>
      <c r="N32" s="33" t="s">
        <v>3699</v>
      </c>
      <c r="O32" s="28" t="s">
        <v>3700</v>
      </c>
      <c r="P32" s="28" t="s">
        <v>3701</v>
      </c>
      <c r="Q32" s="36"/>
    </row>
    <row r="33" spans="1:18" ht="38.25" x14ac:dyDescent="0.2">
      <c r="A33" s="28" t="s">
        <v>3811</v>
      </c>
      <c r="B33" s="29" t="str">
        <f>'[1]Calculos Indicadores'!C33</f>
        <v>1.7.1</v>
      </c>
      <c r="C33" s="29" t="b">
        <f t="shared" si="0"/>
        <v>1</v>
      </c>
      <c r="D33" s="30" t="str">
        <f>Calculos!B33</f>
        <v>% de participación del presupuesto aprobado del Poder Judicial con respecto al presupuesto formulado del Gobierno Central</v>
      </c>
      <c r="E33" s="41" t="s">
        <v>3017</v>
      </c>
      <c r="F33" s="28" t="s">
        <v>3693</v>
      </c>
      <c r="G33" s="28" t="s">
        <v>3812</v>
      </c>
      <c r="H33" s="39" t="s">
        <v>3813</v>
      </c>
      <c r="I33" s="28" t="s">
        <v>3814</v>
      </c>
      <c r="J33" s="28" t="s">
        <v>3710</v>
      </c>
      <c r="K33" s="28" t="s">
        <v>3696</v>
      </c>
      <c r="L33" s="28" t="s">
        <v>3697</v>
      </c>
      <c r="M33" s="28" t="s">
        <v>3698</v>
      </c>
      <c r="N33" s="33" t="s">
        <v>3699</v>
      </c>
      <c r="O33" s="28" t="s">
        <v>3700</v>
      </c>
      <c r="P33" s="28" t="s">
        <v>3701</v>
      </c>
      <c r="Q33" s="36"/>
    </row>
    <row r="34" spans="1:18" ht="38.25" x14ac:dyDescent="0.2">
      <c r="A34" s="28" t="s">
        <v>3815</v>
      </c>
      <c r="B34" s="29" t="str">
        <f>'[1]Calculos Indicadores'!C34</f>
        <v>1.7.2</v>
      </c>
      <c r="C34" s="29" t="b">
        <f t="shared" si="0"/>
        <v>1</v>
      </c>
      <c r="D34" s="30" t="str">
        <f>Calculos!B34</f>
        <v>% de participación del presupuesto gastado del Poder Judicial con respecto al presupuesto formulado del Gobierno Central</v>
      </c>
      <c r="E34" s="41" t="s">
        <v>3018</v>
      </c>
      <c r="F34" s="28" t="s">
        <v>3693</v>
      </c>
      <c r="G34" s="28" t="s">
        <v>3816</v>
      </c>
      <c r="H34" s="39" t="s">
        <v>3817</v>
      </c>
      <c r="I34" s="28" t="s">
        <v>3818</v>
      </c>
      <c r="J34" s="28" t="s">
        <v>3710</v>
      </c>
      <c r="K34" s="28" t="s">
        <v>3696</v>
      </c>
      <c r="L34" s="28" t="s">
        <v>3697</v>
      </c>
      <c r="M34" s="28" t="s">
        <v>3698</v>
      </c>
      <c r="N34" s="33" t="s">
        <v>3699</v>
      </c>
      <c r="O34" s="28" t="s">
        <v>3700</v>
      </c>
      <c r="P34" s="28" t="s">
        <v>3701</v>
      </c>
      <c r="Q34" s="36"/>
    </row>
    <row r="35" spans="1:18" ht="89.25" x14ac:dyDescent="0.2">
      <c r="A35" s="28" t="s">
        <v>3819</v>
      </c>
      <c r="B35" s="29" t="str">
        <f>'[1]Calculos Indicadores'!C35</f>
        <v>2.1</v>
      </c>
      <c r="C35" s="29" t="b">
        <f t="shared" si="0"/>
        <v>1</v>
      </c>
      <c r="D35" s="30" t="str">
        <f>Calculos!B35</f>
        <v>Costo promedio en colones de causas atendidas en el Poder Judicial durante el año</v>
      </c>
      <c r="E35" s="28" t="s">
        <v>3019</v>
      </c>
      <c r="F35" s="28" t="s">
        <v>3702</v>
      </c>
      <c r="G35" s="28" t="s">
        <v>3820</v>
      </c>
      <c r="H35" s="38" t="s">
        <v>3821</v>
      </c>
      <c r="I35" s="28" t="s">
        <v>4231</v>
      </c>
      <c r="J35" s="28" t="s">
        <v>3695</v>
      </c>
      <c r="K35" s="28" t="s">
        <v>3696</v>
      </c>
      <c r="L35" s="28" t="s">
        <v>3697</v>
      </c>
      <c r="M35" s="28" t="s">
        <v>3698</v>
      </c>
      <c r="N35" s="36" t="s">
        <v>3822</v>
      </c>
      <c r="O35" s="28" t="s">
        <v>3700</v>
      </c>
      <c r="P35" s="28" t="s">
        <v>3701</v>
      </c>
      <c r="Q35" s="36" t="s">
        <v>3823</v>
      </c>
      <c r="R35" s="17"/>
    </row>
    <row r="36" spans="1:18" ht="114.75" x14ac:dyDescent="0.2">
      <c r="A36" s="28" t="s">
        <v>3824</v>
      </c>
      <c r="B36" s="29" t="str">
        <f>'[1]Calculos Indicadores'!C36</f>
        <v>2.1.1</v>
      </c>
      <c r="C36" s="29" t="b">
        <f t="shared" si="0"/>
        <v>1</v>
      </c>
      <c r="D36" s="30" t="str">
        <f>Calculos!B36</f>
        <v>Costo promedio en colones de causas entradas en el Poder Judicial durante el año</v>
      </c>
      <c r="E36" s="28" t="s">
        <v>3020</v>
      </c>
      <c r="F36" s="28" t="s">
        <v>3702</v>
      </c>
      <c r="G36" s="28" t="s">
        <v>3825</v>
      </c>
      <c r="H36" s="38" t="s">
        <v>3826</v>
      </c>
      <c r="I36" s="28" t="s">
        <v>4232</v>
      </c>
      <c r="J36" s="28" t="s">
        <v>3695</v>
      </c>
      <c r="K36" s="28" t="s">
        <v>3696</v>
      </c>
      <c r="L36" s="28" t="s">
        <v>3697</v>
      </c>
      <c r="M36" s="28" t="s">
        <v>3698</v>
      </c>
      <c r="N36" s="36" t="s">
        <v>3822</v>
      </c>
      <c r="O36" s="28" t="s">
        <v>3700</v>
      </c>
      <c r="P36" s="28" t="s">
        <v>3701</v>
      </c>
      <c r="Q36" s="36" t="s">
        <v>3827</v>
      </c>
      <c r="R36" s="17"/>
    </row>
    <row r="37" spans="1:18" ht="63.75" x14ac:dyDescent="0.2">
      <c r="A37" s="28"/>
      <c r="B37" s="29" t="str">
        <f>'[1]Calculos Indicadores'!C37</f>
        <v>Mod.1</v>
      </c>
      <c r="C37" s="29" t="b">
        <f t="shared" si="0"/>
        <v>1</v>
      </c>
      <c r="D37" s="30" t="str">
        <f>Calculos!B37</f>
        <v xml:space="preserve">Costo promedio en colones de causas terminadas en el Poder Judicial durante el año </v>
      </c>
      <c r="E37" s="41" t="s">
        <v>3021</v>
      </c>
      <c r="F37" s="40" t="s">
        <v>3702</v>
      </c>
      <c r="G37" s="28" t="s">
        <v>3828</v>
      </c>
      <c r="H37" s="38" t="s">
        <v>3829</v>
      </c>
      <c r="I37" s="28" t="s">
        <v>4233</v>
      </c>
      <c r="J37" s="28" t="s">
        <v>3695</v>
      </c>
      <c r="K37" s="28" t="s">
        <v>3696</v>
      </c>
      <c r="L37" s="28" t="s">
        <v>3697</v>
      </c>
      <c r="M37" s="28" t="s">
        <v>3698</v>
      </c>
      <c r="N37" s="36" t="s">
        <v>3822</v>
      </c>
      <c r="O37" s="28" t="s">
        <v>3700</v>
      </c>
      <c r="P37" s="28" t="s">
        <v>3701</v>
      </c>
      <c r="Q37" s="36" t="s">
        <v>3830</v>
      </c>
      <c r="R37" s="17"/>
    </row>
    <row r="38" spans="1:18" ht="89.25" x14ac:dyDescent="0.2">
      <c r="A38" s="28"/>
      <c r="B38" s="29" t="str">
        <f>'[1]Calculos Indicadores'!C38</f>
        <v>Mod.2</v>
      </c>
      <c r="C38" s="29" t="b">
        <f t="shared" si="0"/>
        <v>1</v>
      </c>
      <c r="D38" s="30" t="str">
        <f>Calculos!B38</f>
        <v xml:space="preserve">Costo promedio  en dólares de causas terminadas en el Poder Judicial durante el año </v>
      </c>
      <c r="E38" s="41" t="s">
        <v>3022</v>
      </c>
      <c r="F38" s="40" t="s">
        <v>3702</v>
      </c>
      <c r="G38" s="28" t="s">
        <v>3831</v>
      </c>
      <c r="H38" s="38" t="s">
        <v>3832</v>
      </c>
      <c r="I38" s="28" t="s">
        <v>3833</v>
      </c>
      <c r="J38" s="28" t="s">
        <v>3753</v>
      </c>
      <c r="K38" s="28" t="s">
        <v>3696</v>
      </c>
      <c r="L38" s="28" t="s">
        <v>3697</v>
      </c>
      <c r="M38" s="28" t="s">
        <v>3698</v>
      </c>
      <c r="N38" s="36" t="s">
        <v>3834</v>
      </c>
      <c r="O38" s="28" t="s">
        <v>3700</v>
      </c>
      <c r="P38" s="28" t="s">
        <v>3701</v>
      </c>
      <c r="Q38" s="36"/>
      <c r="R38" s="17"/>
    </row>
    <row r="39" spans="1:18" ht="63.75" x14ac:dyDescent="0.2">
      <c r="A39" s="28" t="s">
        <v>3835</v>
      </c>
      <c r="B39" s="29" t="str">
        <f>'[1]Calculos Indicadores'!C39</f>
        <v>2.1.2.c</v>
      </c>
      <c r="C39" s="29" t="b">
        <f t="shared" si="0"/>
        <v>1</v>
      </c>
      <c r="D39" s="30" t="str">
        <f>Calculos!B39</f>
        <v>Costo promedio por expediente terrminado en el Poder Judicial durante el año en colones</v>
      </c>
      <c r="E39" s="41" t="s">
        <v>3023</v>
      </c>
      <c r="F39" s="28" t="s">
        <v>3702</v>
      </c>
      <c r="G39" s="28" t="s">
        <v>3836</v>
      </c>
      <c r="H39" s="28" t="s">
        <v>3837</v>
      </c>
      <c r="I39" s="28" t="s">
        <v>4233</v>
      </c>
      <c r="J39" s="28" t="s">
        <v>3695</v>
      </c>
      <c r="K39" s="28" t="s">
        <v>3696</v>
      </c>
      <c r="L39" s="28" t="s">
        <v>3697</v>
      </c>
      <c r="M39" s="28" t="s">
        <v>3698</v>
      </c>
      <c r="N39" s="36" t="s">
        <v>3822</v>
      </c>
      <c r="O39" s="28" t="s">
        <v>3700</v>
      </c>
      <c r="P39" s="28" t="s">
        <v>3701</v>
      </c>
      <c r="Q39" s="36" t="s">
        <v>3838</v>
      </c>
    </row>
    <row r="40" spans="1:18" ht="89.25" x14ac:dyDescent="0.2">
      <c r="A40" s="28"/>
      <c r="B40" s="29" t="str">
        <f>'[1]Calculos Indicadores'!C40</f>
        <v>2.1.2.d</v>
      </c>
      <c r="C40" s="29" t="b">
        <f t="shared" si="0"/>
        <v>1</v>
      </c>
      <c r="D40" s="30" t="str">
        <f>Calculos!B40</f>
        <v>Costo promedio por expediente terminado durante el año en dólares</v>
      </c>
      <c r="E40" s="41" t="s">
        <v>3024</v>
      </c>
      <c r="F40" s="40" t="s">
        <v>3702</v>
      </c>
      <c r="G40" s="28" t="s">
        <v>3839</v>
      </c>
      <c r="H40" s="38" t="s">
        <v>3840</v>
      </c>
      <c r="I40" s="28" t="s">
        <v>3841</v>
      </c>
      <c r="J40" s="28" t="s">
        <v>3753</v>
      </c>
      <c r="K40" s="28" t="s">
        <v>3696</v>
      </c>
      <c r="L40" s="28" t="s">
        <v>3697</v>
      </c>
      <c r="M40" s="28" t="s">
        <v>3698</v>
      </c>
      <c r="N40" s="36" t="s">
        <v>3834</v>
      </c>
      <c r="O40" s="28" t="s">
        <v>3700</v>
      </c>
      <c r="P40" s="28" t="s">
        <v>3701</v>
      </c>
      <c r="Q40" s="36"/>
    </row>
    <row r="41" spans="1:18" ht="89.25" x14ac:dyDescent="0.2">
      <c r="A41" s="28" t="s">
        <v>3842</v>
      </c>
      <c r="B41" s="29" t="str">
        <f>'[1]Calculos Indicadores'!C41</f>
        <v>2.1.2.1</v>
      </c>
      <c r="C41" s="29" t="b">
        <f t="shared" si="0"/>
        <v>1</v>
      </c>
      <c r="D41" s="30" t="str">
        <f>Calculos!B41</f>
        <v>Costo promedio por expediente terminado del programa 927 Servicio Jurisdiccional</v>
      </c>
      <c r="E41" s="28" t="s">
        <v>3025</v>
      </c>
      <c r="F41" s="28" t="s">
        <v>3702</v>
      </c>
      <c r="G41" s="28" t="s">
        <v>3843</v>
      </c>
      <c r="H41" s="28" t="s">
        <v>3844</v>
      </c>
      <c r="I41" s="28" t="s">
        <v>4234</v>
      </c>
      <c r="J41" s="28" t="s">
        <v>3695</v>
      </c>
      <c r="K41" s="28" t="s">
        <v>3696</v>
      </c>
      <c r="L41" s="28" t="s">
        <v>3718</v>
      </c>
      <c r="M41" s="28" t="s">
        <v>3698</v>
      </c>
      <c r="N41" s="36" t="s">
        <v>3822</v>
      </c>
      <c r="O41" s="28" t="s">
        <v>3700</v>
      </c>
      <c r="P41" s="28" t="s">
        <v>3701</v>
      </c>
      <c r="Q41" s="28" t="s">
        <v>3845</v>
      </c>
    </row>
    <row r="42" spans="1:18" ht="89.25" x14ac:dyDescent="0.2">
      <c r="A42" s="28" t="s">
        <v>3846</v>
      </c>
      <c r="B42" s="29" t="str">
        <f>'[1]Calculos Indicadores'!C42</f>
        <v>2.1.2.2</v>
      </c>
      <c r="C42" s="29" t="b">
        <f t="shared" si="0"/>
        <v>1</v>
      </c>
      <c r="D42" s="30" t="str">
        <f>Calculos!B42</f>
        <v>Costo promedio por expediente terminado del programa 928 Organismo de Investigación Judicial</v>
      </c>
      <c r="E42" s="28" t="s">
        <v>3026</v>
      </c>
      <c r="F42" s="28" t="s">
        <v>3702</v>
      </c>
      <c r="G42" s="28" t="s">
        <v>3847</v>
      </c>
      <c r="H42" s="28" t="s">
        <v>3848</v>
      </c>
      <c r="I42" s="28" t="s">
        <v>4235</v>
      </c>
      <c r="J42" s="28" t="s">
        <v>3695</v>
      </c>
      <c r="K42" s="28" t="s">
        <v>3696</v>
      </c>
      <c r="L42" s="28" t="s">
        <v>3718</v>
      </c>
      <c r="M42" s="28" t="s">
        <v>3698</v>
      </c>
      <c r="N42" s="36" t="s">
        <v>3822</v>
      </c>
      <c r="O42" s="28" t="s">
        <v>3700</v>
      </c>
      <c r="P42" s="28" t="s">
        <v>3701</v>
      </c>
      <c r="Q42" s="28" t="s">
        <v>3845</v>
      </c>
    </row>
    <row r="43" spans="1:18" ht="89.25" x14ac:dyDescent="0.2">
      <c r="A43" s="28" t="s">
        <v>3849</v>
      </c>
      <c r="B43" s="29" t="str">
        <f>'[1]Calculos Indicadores'!C43</f>
        <v>2.1.2.3</v>
      </c>
      <c r="C43" s="29" t="b">
        <f t="shared" si="0"/>
        <v>1</v>
      </c>
      <c r="D43" s="30" t="str">
        <f>Calculos!B43</f>
        <v>Costo promedio por expediente terminado del programa 929 Ministerio Público</v>
      </c>
      <c r="E43" s="28" t="s">
        <v>3027</v>
      </c>
      <c r="F43" s="28" t="s">
        <v>3702</v>
      </c>
      <c r="G43" s="28" t="s">
        <v>3850</v>
      </c>
      <c r="H43" s="28" t="s">
        <v>3851</v>
      </c>
      <c r="I43" s="28" t="s">
        <v>4236</v>
      </c>
      <c r="J43" s="28" t="s">
        <v>3695</v>
      </c>
      <c r="K43" s="28" t="s">
        <v>3696</v>
      </c>
      <c r="L43" s="28" t="s">
        <v>3718</v>
      </c>
      <c r="M43" s="28" t="s">
        <v>3698</v>
      </c>
      <c r="N43" s="36" t="s">
        <v>3822</v>
      </c>
      <c r="O43" s="28" t="s">
        <v>3700</v>
      </c>
      <c r="P43" s="28" t="s">
        <v>3701</v>
      </c>
      <c r="Q43" s="28" t="s">
        <v>3845</v>
      </c>
    </row>
    <row r="44" spans="1:18" ht="89.25" x14ac:dyDescent="0.2">
      <c r="A44" s="28" t="s">
        <v>3852</v>
      </c>
      <c r="B44" s="29" t="str">
        <f>'[1]Calculos Indicadores'!C44</f>
        <v>2.1.2.4</v>
      </c>
      <c r="C44" s="29" t="b">
        <f t="shared" si="0"/>
        <v>1</v>
      </c>
      <c r="D44" s="30" t="str">
        <f>Calculos!B44</f>
        <v>Costo promedio por expediente terminado del programa 930 Defensa Pública</v>
      </c>
      <c r="E44" s="28" t="s">
        <v>3028</v>
      </c>
      <c r="F44" s="28" t="s">
        <v>3702</v>
      </c>
      <c r="G44" s="28" t="s">
        <v>3853</v>
      </c>
      <c r="H44" s="28" t="s">
        <v>3854</v>
      </c>
      <c r="I44" s="28" t="s">
        <v>4237</v>
      </c>
      <c r="J44" s="28" t="s">
        <v>3695</v>
      </c>
      <c r="K44" s="28" t="s">
        <v>3696</v>
      </c>
      <c r="L44" s="28" t="s">
        <v>3718</v>
      </c>
      <c r="M44" s="28" t="s">
        <v>3698</v>
      </c>
      <c r="N44" s="36" t="s">
        <v>3822</v>
      </c>
      <c r="O44" s="28" t="s">
        <v>3700</v>
      </c>
      <c r="P44" s="28" t="s">
        <v>3701</v>
      </c>
      <c r="Q44" s="28" t="s">
        <v>3845</v>
      </c>
    </row>
    <row r="45" spans="1:18" ht="89.25" x14ac:dyDescent="0.2">
      <c r="A45" s="28" t="s">
        <v>3855</v>
      </c>
      <c r="B45" s="29" t="str">
        <f>'[1]Calculos Indicadores'!C45</f>
        <v>2.1.2.5</v>
      </c>
      <c r="C45" s="29" t="b">
        <f t="shared" si="0"/>
        <v>1</v>
      </c>
      <c r="D45" s="30" t="str">
        <f>Calculos!B45</f>
        <v>Costo promedio por expediente terminado del programa 950 Servicio de Atención y Protección a Víctimas y Testigos</v>
      </c>
      <c r="E45" s="28" t="s">
        <v>3029</v>
      </c>
      <c r="F45" s="28" t="s">
        <v>3702</v>
      </c>
      <c r="G45" s="28" t="s">
        <v>3856</v>
      </c>
      <c r="H45" s="28" t="s">
        <v>3857</v>
      </c>
      <c r="I45" s="28" t="s">
        <v>4238</v>
      </c>
      <c r="J45" s="28" t="s">
        <v>3695</v>
      </c>
      <c r="K45" s="28" t="s">
        <v>3696</v>
      </c>
      <c r="L45" s="28" t="s">
        <v>3718</v>
      </c>
      <c r="M45" s="28" t="s">
        <v>3698</v>
      </c>
      <c r="N45" s="36" t="s">
        <v>3822</v>
      </c>
      <c r="O45" s="28" t="s">
        <v>3740</v>
      </c>
      <c r="P45" s="28" t="s">
        <v>3701</v>
      </c>
      <c r="Q45" s="28" t="s">
        <v>3845</v>
      </c>
    </row>
    <row r="46" spans="1:18" ht="102.75" thickBot="1" x14ac:dyDescent="0.25">
      <c r="A46" s="42" t="s">
        <v>3858</v>
      </c>
      <c r="B46" s="43" t="str">
        <f>'[1]Calculos Indicadores'!C46</f>
        <v>2.1.2.6</v>
      </c>
      <c r="C46" s="43" t="b">
        <f t="shared" si="0"/>
        <v>1</v>
      </c>
      <c r="D46" s="44" t="str">
        <f>Calculos!B46</f>
        <v>Costo promedio por expediente terminado de los programas  931 Servicio Notariado, 932 Servicio Justicia de Tránsito, 942 Aporte local préstamo 1377/OC-CR y el 801 superávit</v>
      </c>
      <c r="E46" s="42" t="s">
        <v>3030</v>
      </c>
      <c r="F46" s="42" t="s">
        <v>3702</v>
      </c>
      <c r="G46" s="42" t="s">
        <v>3859</v>
      </c>
      <c r="H46" s="42" t="s">
        <v>3860</v>
      </c>
      <c r="I46" s="42" t="s">
        <v>4239</v>
      </c>
      <c r="J46" s="42" t="s">
        <v>3695</v>
      </c>
      <c r="K46" s="42" t="s">
        <v>3696</v>
      </c>
      <c r="L46" s="28" t="s">
        <v>3718</v>
      </c>
      <c r="M46" s="42" t="s">
        <v>3698</v>
      </c>
      <c r="N46" s="45" t="s">
        <v>3822</v>
      </c>
      <c r="O46" s="42" t="s">
        <v>3700</v>
      </c>
      <c r="P46" s="42" t="s">
        <v>3701</v>
      </c>
      <c r="Q46" s="42" t="s">
        <v>3845</v>
      </c>
    </row>
    <row r="47" spans="1:18" ht="38.25" x14ac:dyDescent="0.2">
      <c r="A47" s="46" t="s">
        <v>3861</v>
      </c>
      <c r="B47" s="29" t="str">
        <f>'[1]Calculos Indicadores'!C47</f>
        <v>2.2.1</v>
      </c>
      <c r="C47" s="29" t="b">
        <f t="shared" si="0"/>
        <v>1</v>
      </c>
      <c r="D47" s="30" t="str">
        <f>Calculos!B47</f>
        <v>Estimación porcentual del costo total de justicia en materia civil del programa 927</v>
      </c>
      <c r="E47" s="47" t="s">
        <v>3031</v>
      </c>
      <c r="F47" s="28" t="s">
        <v>3693</v>
      </c>
      <c r="G47" s="28" t="s">
        <v>3862</v>
      </c>
      <c r="H47" s="28" t="s">
        <v>3863</v>
      </c>
      <c r="I47" s="28" t="s">
        <v>3864</v>
      </c>
      <c r="J47" s="28" t="s">
        <v>3710</v>
      </c>
      <c r="K47" s="28" t="s">
        <v>3696</v>
      </c>
      <c r="L47" s="28" t="s">
        <v>3865</v>
      </c>
      <c r="M47" s="28" t="s">
        <v>3698</v>
      </c>
      <c r="N47" s="33" t="s">
        <v>3699</v>
      </c>
      <c r="O47" s="28" t="s">
        <v>3866</v>
      </c>
      <c r="P47" s="28" t="s">
        <v>3701</v>
      </c>
      <c r="Q47" s="28"/>
    </row>
    <row r="48" spans="1:18" ht="63.75" x14ac:dyDescent="0.2">
      <c r="A48" s="46"/>
      <c r="B48" s="29"/>
      <c r="C48" s="29" t="b">
        <f t="shared" si="0"/>
        <v>1</v>
      </c>
      <c r="D48" s="30" t="str">
        <f>Calculos!B48</f>
        <v>Estimación del costo total por expediente en materia civil</v>
      </c>
      <c r="E48" s="47" t="s">
        <v>3032</v>
      </c>
      <c r="F48" s="28" t="s">
        <v>3693</v>
      </c>
      <c r="G48" s="28" t="s">
        <v>3867</v>
      </c>
      <c r="H48" s="28" t="s">
        <v>3868</v>
      </c>
      <c r="I48" s="28" t="s">
        <v>3869</v>
      </c>
      <c r="J48" s="28" t="s">
        <v>3695</v>
      </c>
      <c r="K48" s="28" t="s">
        <v>3696</v>
      </c>
      <c r="L48" s="46" t="s">
        <v>3865</v>
      </c>
      <c r="M48" s="28" t="s">
        <v>3698</v>
      </c>
      <c r="N48" s="48" t="s">
        <v>3822</v>
      </c>
      <c r="O48" s="28" t="s">
        <v>3866</v>
      </c>
      <c r="P48" s="28" t="s">
        <v>3701</v>
      </c>
      <c r="Q48" s="28"/>
    </row>
    <row r="49" spans="1:17" ht="38.25" x14ac:dyDescent="0.2">
      <c r="A49" s="28"/>
      <c r="B49" s="29" t="str">
        <f>'[1]Calculos Indicadores'!C48</f>
        <v>2.2.2</v>
      </c>
      <c r="C49" s="29" t="b">
        <f t="shared" si="0"/>
        <v>1</v>
      </c>
      <c r="D49" s="30" t="str">
        <f>Calculos!B49</f>
        <v>Estimación porcentual del costo total  de justicia en materia cobro del programa 927</v>
      </c>
      <c r="E49" s="47" t="s">
        <v>3033</v>
      </c>
      <c r="F49" s="28" t="s">
        <v>3693</v>
      </c>
      <c r="G49" s="28" t="s">
        <v>3862</v>
      </c>
      <c r="H49" s="28" t="s">
        <v>3863</v>
      </c>
      <c r="I49" s="28" t="s">
        <v>3864</v>
      </c>
      <c r="J49" s="28" t="s">
        <v>3710</v>
      </c>
      <c r="K49" s="28" t="s">
        <v>3696</v>
      </c>
      <c r="L49" s="46" t="s">
        <v>3865</v>
      </c>
      <c r="M49" s="28" t="s">
        <v>3698</v>
      </c>
      <c r="N49" s="33" t="s">
        <v>3699</v>
      </c>
      <c r="O49" s="28" t="s">
        <v>3740</v>
      </c>
      <c r="P49" s="28" t="s">
        <v>3701</v>
      </c>
      <c r="Q49" s="28"/>
    </row>
    <row r="50" spans="1:17" ht="63.75" x14ac:dyDescent="0.2">
      <c r="A50" s="28"/>
      <c r="B50" s="29"/>
      <c r="C50" s="29" t="b">
        <f t="shared" si="0"/>
        <v>1</v>
      </c>
      <c r="D50" s="30" t="str">
        <f>Calculos!B50</f>
        <v>Estimación del costo total por expediente en materia cobro</v>
      </c>
      <c r="E50" s="47" t="s">
        <v>3034</v>
      </c>
      <c r="F50" s="28" t="s">
        <v>3693</v>
      </c>
      <c r="G50" s="28" t="s">
        <v>3867</v>
      </c>
      <c r="H50" s="28" t="s">
        <v>3868</v>
      </c>
      <c r="I50" s="28" t="s">
        <v>3869</v>
      </c>
      <c r="J50" s="28" t="s">
        <v>3695</v>
      </c>
      <c r="K50" s="28" t="s">
        <v>3696</v>
      </c>
      <c r="L50" s="46" t="s">
        <v>3865</v>
      </c>
      <c r="M50" s="46" t="s">
        <v>3698</v>
      </c>
      <c r="N50" s="48" t="s">
        <v>3822</v>
      </c>
      <c r="O50" s="28" t="s">
        <v>3740</v>
      </c>
      <c r="P50" s="28" t="s">
        <v>3701</v>
      </c>
      <c r="Q50" s="28"/>
    </row>
    <row r="51" spans="1:17" ht="38.25" x14ac:dyDescent="0.2">
      <c r="A51" s="28"/>
      <c r="B51" s="29" t="str">
        <f>'[1]Calculos Indicadores'!C49</f>
        <v>2.2.3</v>
      </c>
      <c r="C51" s="29" t="b">
        <f t="shared" si="0"/>
        <v>1</v>
      </c>
      <c r="D51" s="30" t="str">
        <f>Calculos!B51</f>
        <v>Estimación porcentual del costo total  de justicia en materia Agrario del programa 927</v>
      </c>
      <c r="E51" s="47" t="s">
        <v>3035</v>
      </c>
      <c r="F51" s="28" t="s">
        <v>3693</v>
      </c>
      <c r="G51" s="28" t="s">
        <v>3862</v>
      </c>
      <c r="H51" s="28" t="s">
        <v>3863</v>
      </c>
      <c r="I51" s="28" t="s">
        <v>3864</v>
      </c>
      <c r="J51" s="28" t="s">
        <v>3710</v>
      </c>
      <c r="K51" s="28" t="s">
        <v>3696</v>
      </c>
      <c r="L51" s="46" t="s">
        <v>3865</v>
      </c>
      <c r="M51" s="46" t="s">
        <v>3698</v>
      </c>
      <c r="N51" s="49" t="s">
        <v>3699</v>
      </c>
      <c r="O51" s="28" t="s">
        <v>3866</v>
      </c>
      <c r="P51" s="28" t="s">
        <v>3701</v>
      </c>
      <c r="Q51" s="28"/>
    </row>
    <row r="52" spans="1:17" ht="63.75" x14ac:dyDescent="0.2">
      <c r="A52" s="28"/>
      <c r="B52" s="29"/>
      <c r="C52" s="29" t="b">
        <f t="shared" si="0"/>
        <v>1</v>
      </c>
      <c r="D52" s="30" t="str">
        <f>Calculos!B52</f>
        <v xml:space="preserve">Estimación  del costo total por expediente en materia Agrario </v>
      </c>
      <c r="E52" s="47" t="s">
        <v>3036</v>
      </c>
      <c r="F52" s="28" t="s">
        <v>3693</v>
      </c>
      <c r="G52" s="28" t="s">
        <v>3867</v>
      </c>
      <c r="H52" s="28" t="s">
        <v>3868</v>
      </c>
      <c r="I52" s="28" t="s">
        <v>3869</v>
      </c>
      <c r="J52" s="28" t="s">
        <v>3695</v>
      </c>
      <c r="K52" s="28" t="s">
        <v>3696</v>
      </c>
      <c r="L52" s="46" t="s">
        <v>3865</v>
      </c>
      <c r="M52" s="46" t="s">
        <v>3698</v>
      </c>
      <c r="N52" s="48" t="s">
        <v>3822</v>
      </c>
      <c r="O52" s="28" t="s">
        <v>3866</v>
      </c>
      <c r="P52" s="28" t="s">
        <v>3701</v>
      </c>
      <c r="Q52" s="28"/>
    </row>
    <row r="53" spans="1:17" ht="38.25" x14ac:dyDescent="0.2">
      <c r="A53" s="28"/>
      <c r="B53" s="29" t="str">
        <f>'[1]Calculos Indicadores'!C50</f>
        <v>2.2.4</v>
      </c>
      <c r="C53" s="29" t="b">
        <f t="shared" si="0"/>
        <v>1</v>
      </c>
      <c r="D53" s="30" t="str">
        <f>Calculos!B53</f>
        <v>Estimación porcentual del costo total  de justicia en materia Familia del programa 927</v>
      </c>
      <c r="E53" s="47" t="s">
        <v>3037</v>
      </c>
      <c r="F53" s="28" t="s">
        <v>3693</v>
      </c>
      <c r="G53" s="28" t="s">
        <v>3862</v>
      </c>
      <c r="H53" s="28" t="s">
        <v>3863</v>
      </c>
      <c r="I53" s="28" t="s">
        <v>3864</v>
      </c>
      <c r="J53" s="28" t="s">
        <v>3710</v>
      </c>
      <c r="K53" s="28" t="s">
        <v>3696</v>
      </c>
      <c r="L53" s="46" t="s">
        <v>3865</v>
      </c>
      <c r="M53" s="46" t="s">
        <v>3698</v>
      </c>
      <c r="N53" s="49" t="s">
        <v>3699</v>
      </c>
      <c r="O53" s="28" t="s">
        <v>3866</v>
      </c>
      <c r="P53" s="28" t="s">
        <v>3701</v>
      </c>
      <c r="Q53" s="28"/>
    </row>
    <row r="54" spans="1:17" ht="63.75" x14ac:dyDescent="0.2">
      <c r="A54" s="28"/>
      <c r="B54" s="29"/>
      <c r="C54" s="29" t="b">
        <f t="shared" si="0"/>
        <v>1</v>
      </c>
      <c r="D54" s="30" t="str">
        <f>Calculos!B54</f>
        <v xml:space="preserve">Estimación del costo total por expediente  en materia Familia </v>
      </c>
      <c r="E54" s="47" t="s">
        <v>3038</v>
      </c>
      <c r="F54" s="28" t="s">
        <v>3693</v>
      </c>
      <c r="G54" s="28" t="s">
        <v>3867</v>
      </c>
      <c r="H54" s="28" t="s">
        <v>3868</v>
      </c>
      <c r="I54" s="28" t="s">
        <v>3869</v>
      </c>
      <c r="J54" s="28" t="s">
        <v>3695</v>
      </c>
      <c r="K54" s="28" t="s">
        <v>3696</v>
      </c>
      <c r="L54" s="46" t="s">
        <v>3865</v>
      </c>
      <c r="M54" s="46" t="s">
        <v>3698</v>
      </c>
      <c r="N54" s="48" t="s">
        <v>3822</v>
      </c>
      <c r="O54" s="28" t="s">
        <v>3866</v>
      </c>
      <c r="P54" s="28" t="s">
        <v>3701</v>
      </c>
      <c r="Q54" s="28"/>
    </row>
    <row r="55" spans="1:17" ht="38.25" x14ac:dyDescent="0.2">
      <c r="A55" s="28"/>
      <c r="B55" s="29" t="str">
        <f>'[1]Calculos Indicadores'!C51</f>
        <v>2.2.5</v>
      </c>
      <c r="C55" s="29" t="b">
        <f t="shared" si="0"/>
        <v>1</v>
      </c>
      <c r="D55" s="30" t="str">
        <f>Calculos!B55</f>
        <v>Estimación porcentual del costo total  de justicia en materia Cont Administrativo del programa 927</v>
      </c>
      <c r="E55" s="47" t="s">
        <v>3039</v>
      </c>
      <c r="F55" s="28" t="s">
        <v>3693</v>
      </c>
      <c r="G55" s="28" t="s">
        <v>3862</v>
      </c>
      <c r="H55" s="28" t="s">
        <v>3863</v>
      </c>
      <c r="I55" s="28" t="s">
        <v>3864</v>
      </c>
      <c r="J55" s="28" t="s">
        <v>3710</v>
      </c>
      <c r="K55" s="28" t="s">
        <v>3696</v>
      </c>
      <c r="L55" s="46" t="s">
        <v>3865</v>
      </c>
      <c r="M55" s="46" t="s">
        <v>3698</v>
      </c>
      <c r="N55" s="49" t="s">
        <v>3699</v>
      </c>
      <c r="O55" s="28" t="s">
        <v>3866</v>
      </c>
      <c r="P55" s="28" t="s">
        <v>3701</v>
      </c>
      <c r="Q55" s="28"/>
    </row>
    <row r="56" spans="1:17" ht="63.75" x14ac:dyDescent="0.2">
      <c r="A56" s="28"/>
      <c r="B56" s="29"/>
      <c r="C56" s="29" t="b">
        <f t="shared" si="0"/>
        <v>1</v>
      </c>
      <c r="D56" s="30" t="str">
        <f>Calculos!B56</f>
        <v>Estimación del costo total por expediente en materia Cont Administrativo</v>
      </c>
      <c r="E56" s="47" t="s">
        <v>3040</v>
      </c>
      <c r="F56" s="28" t="s">
        <v>3693</v>
      </c>
      <c r="G56" s="28" t="s">
        <v>3867</v>
      </c>
      <c r="H56" s="28" t="s">
        <v>3868</v>
      </c>
      <c r="I56" s="28" t="s">
        <v>3869</v>
      </c>
      <c r="J56" s="28" t="s">
        <v>3695</v>
      </c>
      <c r="K56" s="28" t="s">
        <v>3696</v>
      </c>
      <c r="L56" s="46" t="s">
        <v>3865</v>
      </c>
      <c r="M56" s="46" t="s">
        <v>3698</v>
      </c>
      <c r="N56" s="48" t="s">
        <v>3822</v>
      </c>
      <c r="O56" s="28" t="s">
        <v>3866</v>
      </c>
      <c r="P56" s="28" t="s">
        <v>3701</v>
      </c>
      <c r="Q56" s="28"/>
    </row>
    <row r="57" spans="1:17" ht="38.25" x14ac:dyDescent="0.2">
      <c r="A57" s="28"/>
      <c r="B57" s="29" t="str">
        <f>'[1]Calculos Indicadores'!C52</f>
        <v>2.2.6</v>
      </c>
      <c r="C57" s="29" t="b">
        <f t="shared" si="0"/>
        <v>1</v>
      </c>
      <c r="D57" s="30" t="str">
        <f>Calculos!B57</f>
        <v>Estimación porcentual del costo total  de justicia en materia Trabajo del programa 927</v>
      </c>
      <c r="E57" s="47" t="s">
        <v>3041</v>
      </c>
      <c r="F57" s="28" t="s">
        <v>3693</v>
      </c>
      <c r="G57" s="28" t="s">
        <v>3862</v>
      </c>
      <c r="H57" s="28" t="s">
        <v>3863</v>
      </c>
      <c r="I57" s="28" t="s">
        <v>3864</v>
      </c>
      <c r="J57" s="28" t="s">
        <v>3710</v>
      </c>
      <c r="K57" s="28" t="s">
        <v>3696</v>
      </c>
      <c r="L57" s="46" t="s">
        <v>3865</v>
      </c>
      <c r="M57" s="46" t="s">
        <v>3698</v>
      </c>
      <c r="N57" s="49" t="s">
        <v>3699</v>
      </c>
      <c r="O57" s="28" t="s">
        <v>3866</v>
      </c>
      <c r="P57" s="28" t="s">
        <v>3701</v>
      </c>
      <c r="Q57" s="28"/>
    </row>
    <row r="58" spans="1:17" ht="63.75" x14ac:dyDescent="0.2">
      <c r="A58" s="28"/>
      <c r="B58" s="29"/>
      <c r="C58" s="29" t="b">
        <f t="shared" si="0"/>
        <v>1</v>
      </c>
      <c r="D58" s="30" t="str">
        <f>Calculos!B58</f>
        <v>Estimación porcentual del costo total por expediente en materia Trabajo</v>
      </c>
      <c r="E58" s="47" t="s">
        <v>3042</v>
      </c>
      <c r="F58" s="28" t="s">
        <v>3693</v>
      </c>
      <c r="G58" s="28" t="s">
        <v>3867</v>
      </c>
      <c r="H58" s="28" t="s">
        <v>3868</v>
      </c>
      <c r="I58" s="28" t="s">
        <v>3869</v>
      </c>
      <c r="J58" s="28" t="s">
        <v>3695</v>
      </c>
      <c r="K58" s="28" t="s">
        <v>3696</v>
      </c>
      <c r="L58" s="46" t="s">
        <v>3865</v>
      </c>
      <c r="M58" s="46" t="s">
        <v>3698</v>
      </c>
      <c r="N58" s="48" t="s">
        <v>3822</v>
      </c>
      <c r="O58" s="28" t="s">
        <v>3866</v>
      </c>
      <c r="P58" s="28" t="s">
        <v>3701</v>
      </c>
      <c r="Q58" s="28"/>
    </row>
    <row r="59" spans="1:17" ht="38.25" x14ac:dyDescent="0.2">
      <c r="A59" s="28"/>
      <c r="B59" s="29" t="str">
        <f>'[1]Calculos Indicadores'!C53</f>
        <v>2.2.7</v>
      </c>
      <c r="C59" s="29" t="b">
        <f t="shared" si="0"/>
        <v>1</v>
      </c>
      <c r="D59" s="30" t="str">
        <f>Calculos!B59</f>
        <v>Estimación porcentual del costo total  de justicia en materia Contravencional del programa 927</v>
      </c>
      <c r="E59" s="47" t="s">
        <v>3043</v>
      </c>
      <c r="F59" s="28" t="s">
        <v>3693</v>
      </c>
      <c r="G59" s="28" t="s">
        <v>3862</v>
      </c>
      <c r="H59" s="28" t="s">
        <v>3863</v>
      </c>
      <c r="I59" s="28" t="s">
        <v>3864</v>
      </c>
      <c r="J59" s="28" t="s">
        <v>3710</v>
      </c>
      <c r="K59" s="28" t="s">
        <v>3696</v>
      </c>
      <c r="L59" s="46" t="s">
        <v>3865</v>
      </c>
      <c r="M59" s="46" t="s">
        <v>3698</v>
      </c>
      <c r="N59" s="49" t="s">
        <v>3699</v>
      </c>
      <c r="O59" s="28" t="s">
        <v>3866</v>
      </c>
      <c r="P59" s="28" t="s">
        <v>3701</v>
      </c>
      <c r="Q59" s="28"/>
    </row>
    <row r="60" spans="1:17" ht="63.75" x14ac:dyDescent="0.2">
      <c r="A60" s="28"/>
      <c r="B60" s="29"/>
      <c r="C60" s="29" t="b">
        <f t="shared" si="0"/>
        <v>1</v>
      </c>
      <c r="D60" s="30" t="str">
        <f>Calculos!B60</f>
        <v xml:space="preserve">Estimación del costo total por expediente en materia Contravencional </v>
      </c>
      <c r="E60" s="47" t="s">
        <v>3044</v>
      </c>
      <c r="F60" s="28" t="s">
        <v>3693</v>
      </c>
      <c r="G60" s="28" t="s">
        <v>3867</v>
      </c>
      <c r="H60" s="28" t="s">
        <v>3868</v>
      </c>
      <c r="I60" s="28" t="s">
        <v>3869</v>
      </c>
      <c r="J60" s="28" t="s">
        <v>3695</v>
      </c>
      <c r="K60" s="28" t="s">
        <v>3696</v>
      </c>
      <c r="L60" s="46" t="s">
        <v>3865</v>
      </c>
      <c r="M60" s="46" t="s">
        <v>3698</v>
      </c>
      <c r="N60" s="48" t="s">
        <v>3822</v>
      </c>
      <c r="O60" s="28" t="s">
        <v>3866</v>
      </c>
      <c r="P60" s="28" t="s">
        <v>3701</v>
      </c>
      <c r="Q60" s="28"/>
    </row>
    <row r="61" spans="1:17" ht="38.25" x14ac:dyDescent="0.2">
      <c r="A61" s="28"/>
      <c r="B61" s="29" t="str">
        <f>'[1]Calculos Indicadores'!C54</f>
        <v>2.2.8</v>
      </c>
      <c r="C61" s="29" t="b">
        <f t="shared" si="0"/>
        <v>1</v>
      </c>
      <c r="D61" s="30" t="str">
        <f>Calculos!B61</f>
        <v>Estimación porcentual del costo total  de justicia en materia Tránsito del programa 927</v>
      </c>
      <c r="E61" s="47" t="s">
        <v>3045</v>
      </c>
      <c r="F61" s="28" t="s">
        <v>3693</v>
      </c>
      <c r="G61" s="28" t="s">
        <v>3862</v>
      </c>
      <c r="H61" s="28" t="s">
        <v>3863</v>
      </c>
      <c r="I61" s="28" t="s">
        <v>3864</v>
      </c>
      <c r="J61" s="28" t="s">
        <v>3710</v>
      </c>
      <c r="K61" s="28" t="s">
        <v>3696</v>
      </c>
      <c r="L61" s="46" t="s">
        <v>3865</v>
      </c>
      <c r="M61" s="46" t="s">
        <v>3698</v>
      </c>
      <c r="N61" s="49" t="s">
        <v>3699</v>
      </c>
      <c r="O61" s="28" t="s">
        <v>3866</v>
      </c>
      <c r="P61" s="28" t="s">
        <v>3701</v>
      </c>
      <c r="Q61" s="28"/>
    </row>
    <row r="62" spans="1:17" ht="63.75" x14ac:dyDescent="0.2">
      <c r="A62" s="28"/>
      <c r="B62" s="29"/>
      <c r="C62" s="29" t="b">
        <f t="shared" si="0"/>
        <v>1</v>
      </c>
      <c r="D62" s="30" t="str">
        <f>Calculos!B62</f>
        <v>Estimación del costo total por expediente en materia Tránsito</v>
      </c>
      <c r="E62" s="47" t="s">
        <v>3046</v>
      </c>
      <c r="F62" s="28" t="s">
        <v>3693</v>
      </c>
      <c r="G62" s="28" t="s">
        <v>3867</v>
      </c>
      <c r="H62" s="28" t="s">
        <v>3868</v>
      </c>
      <c r="I62" s="28" t="s">
        <v>3869</v>
      </c>
      <c r="J62" s="28" t="s">
        <v>3695</v>
      </c>
      <c r="K62" s="28" t="s">
        <v>3696</v>
      </c>
      <c r="L62" s="46" t="s">
        <v>3865</v>
      </c>
      <c r="M62" s="46" t="s">
        <v>3698</v>
      </c>
      <c r="N62" s="48" t="s">
        <v>3822</v>
      </c>
      <c r="O62" s="28" t="s">
        <v>3866</v>
      </c>
      <c r="P62" s="28" t="s">
        <v>3701</v>
      </c>
      <c r="Q62" s="28"/>
    </row>
    <row r="63" spans="1:17" ht="38.25" x14ac:dyDescent="0.2">
      <c r="A63" s="28"/>
      <c r="B63" s="29" t="str">
        <f>'[1]Calculos Indicadores'!C55</f>
        <v>2.2.9</v>
      </c>
      <c r="C63" s="29" t="b">
        <f t="shared" si="0"/>
        <v>1</v>
      </c>
      <c r="D63" s="30" t="str">
        <f>Calculos!B63</f>
        <v>Estimación porcentual del costo total  de justicia en materia Pensiones Alimentarias del programa 927</v>
      </c>
      <c r="E63" s="47" t="s">
        <v>3047</v>
      </c>
      <c r="F63" s="28" t="s">
        <v>3693</v>
      </c>
      <c r="G63" s="28" t="s">
        <v>3862</v>
      </c>
      <c r="H63" s="28" t="s">
        <v>3863</v>
      </c>
      <c r="I63" s="28" t="s">
        <v>3864</v>
      </c>
      <c r="J63" s="28" t="s">
        <v>3710</v>
      </c>
      <c r="K63" s="28" t="s">
        <v>3696</v>
      </c>
      <c r="L63" s="46" t="s">
        <v>3865</v>
      </c>
      <c r="M63" s="46" t="s">
        <v>3698</v>
      </c>
      <c r="N63" s="49" t="s">
        <v>3699</v>
      </c>
      <c r="O63" s="28" t="s">
        <v>3866</v>
      </c>
      <c r="P63" s="28" t="s">
        <v>3701</v>
      </c>
      <c r="Q63" s="28"/>
    </row>
    <row r="64" spans="1:17" ht="63.75" x14ac:dyDescent="0.2">
      <c r="A64" s="28"/>
      <c r="B64" s="29"/>
      <c r="C64" s="29" t="b">
        <f t="shared" si="0"/>
        <v>1</v>
      </c>
      <c r="D64" s="30" t="str">
        <f>Calculos!B64</f>
        <v xml:space="preserve">Estimación del costo total por expediente en materia Pensiones Alimentarias </v>
      </c>
      <c r="E64" s="47" t="s">
        <v>3048</v>
      </c>
      <c r="F64" s="28" t="s">
        <v>3693</v>
      </c>
      <c r="G64" s="28" t="s">
        <v>3867</v>
      </c>
      <c r="H64" s="28" t="s">
        <v>3868</v>
      </c>
      <c r="I64" s="28" t="s">
        <v>3869</v>
      </c>
      <c r="J64" s="28" t="s">
        <v>3695</v>
      </c>
      <c r="K64" s="28" t="s">
        <v>3696</v>
      </c>
      <c r="L64" s="46" t="s">
        <v>3865</v>
      </c>
      <c r="M64" s="46" t="s">
        <v>3698</v>
      </c>
      <c r="N64" s="48" t="s">
        <v>3822</v>
      </c>
      <c r="O64" s="28" t="s">
        <v>3866</v>
      </c>
      <c r="P64" s="28" t="s">
        <v>3701</v>
      </c>
      <c r="Q64" s="28"/>
    </row>
    <row r="65" spans="1:21" ht="38.25" x14ac:dyDescent="0.2">
      <c r="A65" s="28"/>
      <c r="B65" s="29" t="str">
        <f>'[1]Calculos Indicadores'!C56</f>
        <v>2.2.10</v>
      </c>
      <c r="C65" s="29" t="b">
        <f t="shared" si="0"/>
        <v>1</v>
      </c>
      <c r="D65" s="30" t="str">
        <f>Calculos!B65</f>
        <v>Estimación porcentual del costo total  de justicia en materia Violencia Doméstica del programa 927</v>
      </c>
      <c r="E65" s="47" t="s">
        <v>3049</v>
      </c>
      <c r="F65" s="28" t="s">
        <v>3693</v>
      </c>
      <c r="G65" s="28" t="s">
        <v>3862</v>
      </c>
      <c r="H65" s="28" t="s">
        <v>3863</v>
      </c>
      <c r="I65" s="28" t="s">
        <v>3864</v>
      </c>
      <c r="J65" s="28" t="s">
        <v>3710</v>
      </c>
      <c r="K65" s="28" t="s">
        <v>3696</v>
      </c>
      <c r="L65" s="46" t="s">
        <v>3865</v>
      </c>
      <c r="M65" s="46" t="s">
        <v>3698</v>
      </c>
      <c r="N65" s="49" t="s">
        <v>3699</v>
      </c>
      <c r="O65" s="28" t="s">
        <v>3866</v>
      </c>
      <c r="P65" s="28" t="s">
        <v>3701</v>
      </c>
      <c r="Q65" s="28"/>
    </row>
    <row r="66" spans="1:21" ht="63.75" x14ac:dyDescent="0.2">
      <c r="A66" s="28"/>
      <c r="B66" s="29"/>
      <c r="C66" s="29" t="b">
        <f t="shared" si="0"/>
        <v>1</v>
      </c>
      <c r="D66" s="30" t="str">
        <f>Calculos!B66</f>
        <v xml:space="preserve">Estimación del costo total por expediente  en materia Violencia Doméstica </v>
      </c>
      <c r="E66" s="47" t="s">
        <v>3050</v>
      </c>
      <c r="F66" s="28" t="s">
        <v>3693</v>
      </c>
      <c r="G66" s="28" t="s">
        <v>3867</v>
      </c>
      <c r="H66" s="28" t="s">
        <v>3868</v>
      </c>
      <c r="I66" s="28" t="s">
        <v>3869</v>
      </c>
      <c r="J66" s="28" t="s">
        <v>3695</v>
      </c>
      <c r="K66" s="28" t="s">
        <v>3696</v>
      </c>
      <c r="L66" s="46" t="s">
        <v>3865</v>
      </c>
      <c r="M66" s="46" t="s">
        <v>3698</v>
      </c>
      <c r="N66" s="48" t="s">
        <v>3822</v>
      </c>
      <c r="O66" s="28" t="s">
        <v>3866</v>
      </c>
      <c r="P66" s="28" t="s">
        <v>3701</v>
      </c>
      <c r="Q66" s="28"/>
    </row>
    <row r="67" spans="1:21" ht="38.25" x14ac:dyDescent="0.2">
      <c r="A67" s="28"/>
      <c r="B67" s="29" t="str">
        <f>'[1]Calculos Indicadores'!C57</f>
        <v>2.2.11</v>
      </c>
      <c r="C67" s="29" t="b">
        <f t="shared" ref="C67:C84" si="1">D67=E67</f>
        <v>1</v>
      </c>
      <c r="D67" s="30" t="str">
        <f>Calculos!B67</f>
        <v>Estimación porcentual del costo total  de justicia en materia Notarial del programa 927</v>
      </c>
      <c r="E67" s="47" t="s">
        <v>3051</v>
      </c>
      <c r="F67" s="28" t="s">
        <v>3693</v>
      </c>
      <c r="G67" s="28" t="s">
        <v>3862</v>
      </c>
      <c r="H67" s="28" t="s">
        <v>3863</v>
      </c>
      <c r="I67" s="28" t="s">
        <v>3864</v>
      </c>
      <c r="J67" s="28" t="s">
        <v>3710</v>
      </c>
      <c r="K67" s="28" t="s">
        <v>3696</v>
      </c>
      <c r="L67" s="46" t="s">
        <v>3865</v>
      </c>
      <c r="M67" s="46" t="s">
        <v>3698</v>
      </c>
      <c r="N67" s="49" t="s">
        <v>3699</v>
      </c>
      <c r="O67" s="28" t="s">
        <v>3866</v>
      </c>
      <c r="P67" s="28" t="s">
        <v>3701</v>
      </c>
      <c r="Q67" s="28"/>
    </row>
    <row r="68" spans="1:21" ht="63.75" x14ac:dyDescent="0.2">
      <c r="A68" s="28"/>
      <c r="B68" s="29"/>
      <c r="C68" s="29" t="b">
        <f t="shared" si="1"/>
        <v>1</v>
      </c>
      <c r="D68" s="30" t="str">
        <f>Calculos!B68</f>
        <v xml:space="preserve">Estimación del costo total por expediente en materia Notarial </v>
      </c>
      <c r="E68" s="47" t="s">
        <v>3052</v>
      </c>
      <c r="F68" s="28" t="s">
        <v>3693</v>
      </c>
      <c r="G68" s="28" t="s">
        <v>3867</v>
      </c>
      <c r="H68" s="28" t="s">
        <v>3868</v>
      </c>
      <c r="I68" s="28" t="s">
        <v>3869</v>
      </c>
      <c r="J68" s="28" t="s">
        <v>3695</v>
      </c>
      <c r="K68" s="28" t="s">
        <v>3696</v>
      </c>
      <c r="L68" s="46" t="s">
        <v>3865</v>
      </c>
      <c r="M68" s="46" t="s">
        <v>3698</v>
      </c>
      <c r="N68" s="48" t="s">
        <v>3822</v>
      </c>
      <c r="O68" s="28" t="s">
        <v>3866</v>
      </c>
      <c r="P68" s="28" t="s">
        <v>3701</v>
      </c>
      <c r="Q68" s="28"/>
    </row>
    <row r="69" spans="1:21" ht="38.25" x14ac:dyDescent="0.2">
      <c r="A69" s="28"/>
      <c r="B69" s="29" t="str">
        <f>'[1]Calculos Indicadores'!C58</f>
        <v>2.2.12</v>
      </c>
      <c r="C69" s="29" t="b">
        <f t="shared" si="1"/>
        <v>1</v>
      </c>
      <c r="D69" s="30" t="str">
        <f>Calculos!B69</f>
        <v>Estimación porcentual del costo total  de justicia en materia Penal y Penal Juvenil del programa 927</v>
      </c>
      <c r="E69" s="47" t="s">
        <v>3053</v>
      </c>
      <c r="F69" s="28" t="s">
        <v>3693</v>
      </c>
      <c r="G69" s="28" t="s">
        <v>3862</v>
      </c>
      <c r="H69" s="28" t="s">
        <v>3863</v>
      </c>
      <c r="I69" s="28" t="s">
        <v>3864</v>
      </c>
      <c r="J69" s="28" t="s">
        <v>3710</v>
      </c>
      <c r="K69" s="28" t="s">
        <v>3696</v>
      </c>
      <c r="L69" s="46" t="s">
        <v>3865</v>
      </c>
      <c r="M69" s="46" t="s">
        <v>3698</v>
      </c>
      <c r="N69" s="49" t="s">
        <v>3699</v>
      </c>
      <c r="O69" s="28" t="s">
        <v>3866</v>
      </c>
      <c r="P69" s="28" t="s">
        <v>3701</v>
      </c>
      <c r="Q69" s="28"/>
    </row>
    <row r="70" spans="1:21" ht="63.75" x14ac:dyDescent="0.2">
      <c r="A70" s="28"/>
      <c r="B70" s="29"/>
      <c r="C70" s="29" t="b">
        <f t="shared" si="1"/>
        <v>1</v>
      </c>
      <c r="D70" s="30" t="str">
        <f>Calculos!B70</f>
        <v>Estimación del costo total por expediente en materia Penal  y Penal Juvenil</v>
      </c>
      <c r="E70" s="47" t="s">
        <v>3054</v>
      </c>
      <c r="F70" s="28" t="s">
        <v>3693</v>
      </c>
      <c r="G70" s="28" t="s">
        <v>3867</v>
      </c>
      <c r="H70" s="28" t="s">
        <v>3868</v>
      </c>
      <c r="I70" s="28" t="s">
        <v>3869</v>
      </c>
      <c r="J70" s="28" t="s">
        <v>3695</v>
      </c>
      <c r="K70" s="28" t="s">
        <v>3696</v>
      </c>
      <c r="L70" s="46" t="s">
        <v>3865</v>
      </c>
      <c r="M70" s="46" t="s">
        <v>3698</v>
      </c>
      <c r="N70" s="48" t="s">
        <v>3822</v>
      </c>
      <c r="O70" s="28" t="s">
        <v>3866</v>
      </c>
      <c r="P70" s="28" t="s">
        <v>3701</v>
      </c>
      <c r="Q70" s="28"/>
    </row>
    <row r="71" spans="1:21" ht="38.25" x14ac:dyDescent="0.2">
      <c r="A71" s="28"/>
      <c r="B71" s="29" t="str">
        <f>'[1]Calculos Indicadores'!C59</f>
        <v>2.2.13</v>
      </c>
      <c r="C71" s="29" t="b">
        <f t="shared" si="1"/>
        <v>1</v>
      </c>
      <c r="D71" s="30" t="str">
        <f>Calculos!B71</f>
        <v>Estimación porcentual del costo total  de justicia en materia Constitucional del programa 927</v>
      </c>
      <c r="E71" s="47" t="s">
        <v>3055</v>
      </c>
      <c r="F71" s="28" t="s">
        <v>3693</v>
      </c>
      <c r="G71" s="28" t="s">
        <v>3862</v>
      </c>
      <c r="H71" s="28" t="s">
        <v>3863</v>
      </c>
      <c r="I71" s="46" t="s">
        <v>3864</v>
      </c>
      <c r="J71" s="46" t="s">
        <v>3710</v>
      </c>
      <c r="K71" s="46" t="s">
        <v>3696</v>
      </c>
      <c r="L71" s="46" t="s">
        <v>3865</v>
      </c>
      <c r="M71" s="28" t="s">
        <v>3698</v>
      </c>
      <c r="N71" s="33" t="s">
        <v>3699</v>
      </c>
      <c r="O71" s="28" t="s">
        <v>3866</v>
      </c>
      <c r="P71" s="28" t="s">
        <v>3701</v>
      </c>
      <c r="Q71" s="28"/>
    </row>
    <row r="72" spans="1:21" ht="64.5" thickBot="1" x14ac:dyDescent="0.25">
      <c r="A72" s="42"/>
      <c r="B72" s="43"/>
      <c r="C72" s="43" t="b">
        <f t="shared" si="1"/>
        <v>1</v>
      </c>
      <c r="D72" s="44" t="str">
        <f>Calculos!B72</f>
        <v>Estimación del costo total por expediente en materia Constitucional</v>
      </c>
      <c r="E72" s="50" t="s">
        <v>3056</v>
      </c>
      <c r="F72" s="42" t="s">
        <v>3693</v>
      </c>
      <c r="G72" s="42" t="s">
        <v>3867</v>
      </c>
      <c r="H72" s="42" t="s">
        <v>3868</v>
      </c>
      <c r="I72" s="42" t="s">
        <v>3869</v>
      </c>
      <c r="J72" s="42" t="s">
        <v>3695</v>
      </c>
      <c r="K72" s="42" t="s">
        <v>3696</v>
      </c>
      <c r="L72" s="42" t="s">
        <v>3865</v>
      </c>
      <c r="M72" s="42" t="s">
        <v>3698</v>
      </c>
      <c r="N72" s="45" t="s">
        <v>3822</v>
      </c>
      <c r="O72" s="42" t="s">
        <v>3866</v>
      </c>
      <c r="P72" s="42" t="s">
        <v>3701</v>
      </c>
      <c r="Q72" s="42"/>
      <c r="R72" s="23"/>
      <c r="S72" s="23"/>
      <c r="T72" s="23"/>
    </row>
    <row r="73" spans="1:21" ht="76.5" x14ac:dyDescent="0.2">
      <c r="A73" s="46"/>
      <c r="B73" s="51" t="str">
        <f>'[1]Calculos Indicadores'!C60</f>
        <v>2.2.14</v>
      </c>
      <c r="C73" s="51" t="b">
        <f t="shared" si="1"/>
        <v>1</v>
      </c>
      <c r="D73" s="52" t="str">
        <f>Calculos!B73</f>
        <v>% Gasto total en justicia sobre el PIB (base 1991) cálculo anterior</v>
      </c>
      <c r="E73" s="47" t="s">
        <v>3057</v>
      </c>
      <c r="F73" s="28" t="s">
        <v>3693</v>
      </c>
      <c r="G73" s="28" t="s">
        <v>3870</v>
      </c>
      <c r="H73" s="28" t="s">
        <v>3871</v>
      </c>
      <c r="I73" s="28" t="s">
        <v>3872</v>
      </c>
      <c r="J73" s="28" t="s">
        <v>3710</v>
      </c>
      <c r="K73" s="28" t="s">
        <v>3696</v>
      </c>
      <c r="L73" s="28" t="s">
        <v>3873</v>
      </c>
      <c r="M73" s="28" t="s">
        <v>3698</v>
      </c>
      <c r="N73" s="36" t="s">
        <v>3874</v>
      </c>
      <c r="O73" s="28" t="s">
        <v>3875</v>
      </c>
      <c r="P73" s="28" t="s">
        <v>3701</v>
      </c>
      <c r="Q73" s="53" t="s">
        <v>3876</v>
      </c>
      <c r="S73" s="23"/>
      <c r="T73" s="23"/>
    </row>
    <row r="74" spans="1:21" ht="76.5" x14ac:dyDescent="0.2">
      <c r="A74" s="28"/>
      <c r="B74" s="51"/>
      <c r="C74" s="51" t="b">
        <f t="shared" si="1"/>
        <v>1</v>
      </c>
      <c r="D74" s="52" t="str">
        <f>Calculos!B74</f>
        <v>% Gasto total en justicia sobre el PIB (base 2012) cálculo actual</v>
      </c>
      <c r="E74" s="47" t="s">
        <v>3058</v>
      </c>
      <c r="F74" s="33" t="s">
        <v>3693</v>
      </c>
      <c r="G74" s="32" t="s">
        <v>3877</v>
      </c>
      <c r="H74" s="33" t="s">
        <v>3878</v>
      </c>
      <c r="I74" s="32" t="s">
        <v>3879</v>
      </c>
      <c r="J74" s="33" t="s">
        <v>3710</v>
      </c>
      <c r="K74" s="33" t="s">
        <v>3696</v>
      </c>
      <c r="L74" s="28" t="s">
        <v>3873</v>
      </c>
      <c r="M74" s="33" t="s">
        <v>3698</v>
      </c>
      <c r="N74" s="54" t="s">
        <v>3874</v>
      </c>
      <c r="O74" s="33" t="s">
        <v>3880</v>
      </c>
      <c r="P74" s="28" t="s">
        <v>3701</v>
      </c>
      <c r="Q74" s="53" t="s">
        <v>3876</v>
      </c>
      <c r="R74" s="18"/>
    </row>
    <row r="75" spans="1:21" s="18" customFormat="1" ht="25.5" x14ac:dyDescent="0.2">
      <c r="A75" s="33"/>
      <c r="B75" s="29" t="str">
        <f>'[1]Calculos Indicadores'!C61</f>
        <v>Mod.3</v>
      </c>
      <c r="C75" s="51" t="b">
        <f t="shared" si="1"/>
        <v>1</v>
      </c>
      <c r="D75" s="52" t="str">
        <f>Calculos!B75</f>
        <v>% De ejecución presupuestaria del Poder Judicial (devengado)</v>
      </c>
      <c r="E75" s="40" t="s">
        <v>3059</v>
      </c>
      <c r="F75" s="40" t="s">
        <v>3693</v>
      </c>
      <c r="G75" s="28" t="s">
        <v>3881</v>
      </c>
      <c r="H75" s="28" t="s">
        <v>3882</v>
      </c>
      <c r="I75" s="28" t="s">
        <v>3883</v>
      </c>
      <c r="J75" s="33" t="s">
        <v>3710</v>
      </c>
      <c r="K75" s="33" t="s">
        <v>3696</v>
      </c>
      <c r="L75" s="28" t="s">
        <v>3873</v>
      </c>
      <c r="M75" s="33" t="s">
        <v>3698</v>
      </c>
      <c r="N75" s="33" t="s">
        <v>3699</v>
      </c>
      <c r="O75" s="28" t="s">
        <v>3700</v>
      </c>
      <c r="P75" s="28" t="s">
        <v>3701</v>
      </c>
      <c r="Q75" s="28"/>
      <c r="R75" s="14"/>
    </row>
    <row r="76" spans="1:21" ht="51" x14ac:dyDescent="0.2">
      <c r="A76" s="28">
        <v>3.1</v>
      </c>
      <c r="B76" s="29" t="str">
        <f>'[1]Calculos Indicadores'!C62</f>
        <v>3.1</v>
      </c>
      <c r="C76" s="51" t="b">
        <f t="shared" si="1"/>
        <v>1</v>
      </c>
      <c r="D76" s="52" t="str">
        <f>Calculos!B76</f>
        <v>% Gasto variable del Poder Judicial</v>
      </c>
      <c r="E76" s="28" t="s">
        <v>3060</v>
      </c>
      <c r="F76" s="28" t="s">
        <v>3702</v>
      </c>
      <c r="G76" s="28" t="s">
        <v>3884</v>
      </c>
      <c r="H76" s="28" t="s">
        <v>3885</v>
      </c>
      <c r="I76" s="28" t="s">
        <v>3886</v>
      </c>
      <c r="J76" s="28" t="s">
        <v>3710</v>
      </c>
      <c r="K76" s="28" t="s">
        <v>3696</v>
      </c>
      <c r="L76" s="28" t="s">
        <v>3873</v>
      </c>
      <c r="M76" s="28" t="s">
        <v>3698</v>
      </c>
      <c r="N76" s="33" t="s">
        <v>3699</v>
      </c>
      <c r="O76" s="28" t="s">
        <v>3700</v>
      </c>
      <c r="P76" s="28" t="s">
        <v>3701</v>
      </c>
      <c r="Q76" s="28" t="s">
        <v>3887</v>
      </c>
      <c r="S76" s="18"/>
      <c r="T76" s="18"/>
      <c r="U76" s="18"/>
    </row>
    <row r="77" spans="1:21" ht="25.5" x14ac:dyDescent="0.2">
      <c r="A77" s="28" t="s">
        <v>2852</v>
      </c>
      <c r="B77" s="29" t="str">
        <f>'[1]Calculos Indicadores'!C63</f>
        <v>4.1</v>
      </c>
      <c r="C77" s="51" t="b">
        <f t="shared" si="1"/>
        <v>1</v>
      </c>
      <c r="D77" s="52" t="str">
        <f>Calculos!B77</f>
        <v>% Gasto en personal del Poder Judicial</v>
      </c>
      <c r="E77" s="28" t="s">
        <v>3061</v>
      </c>
      <c r="F77" s="28" t="s">
        <v>3702</v>
      </c>
      <c r="G77" s="28" t="s">
        <v>3888</v>
      </c>
      <c r="H77" s="28" t="s">
        <v>3889</v>
      </c>
      <c r="I77" s="28" t="s">
        <v>3890</v>
      </c>
      <c r="J77" s="28" t="s">
        <v>3710</v>
      </c>
      <c r="K77" s="28" t="s">
        <v>3696</v>
      </c>
      <c r="L77" s="28" t="s">
        <v>3873</v>
      </c>
      <c r="M77" s="28" t="s">
        <v>3698</v>
      </c>
      <c r="N77" s="33" t="s">
        <v>3699</v>
      </c>
      <c r="O77" s="28" t="s">
        <v>3700</v>
      </c>
      <c r="P77" s="28" t="s">
        <v>3701</v>
      </c>
      <c r="Q77" s="28" t="s">
        <v>3891</v>
      </c>
    </row>
    <row r="78" spans="1:21" ht="51" x14ac:dyDescent="0.2">
      <c r="A78" s="28" t="s">
        <v>3892</v>
      </c>
      <c r="B78" s="29" t="str">
        <f>'[1]Calculos Indicadores'!C64</f>
        <v>5.1.1</v>
      </c>
      <c r="C78" s="51" t="b">
        <f t="shared" si="1"/>
        <v>1</v>
      </c>
      <c r="D78" s="52" t="str">
        <f>Calculos!B78</f>
        <v>% Gasto dedicado a personal judicial en el programa 926 Dirección, Administ. Y otros Org. de Apoyo Jurisd respecto del costo de la justicia</v>
      </c>
      <c r="E78" s="28" t="s">
        <v>3062</v>
      </c>
      <c r="F78" s="28" t="s">
        <v>3702</v>
      </c>
      <c r="G78" s="28" t="s">
        <v>3893</v>
      </c>
      <c r="H78" s="28" t="s">
        <v>3894</v>
      </c>
      <c r="I78" s="28" t="s">
        <v>3895</v>
      </c>
      <c r="J78" s="28" t="s">
        <v>3710</v>
      </c>
      <c r="K78" s="28" t="s">
        <v>3696</v>
      </c>
      <c r="L78" s="46" t="s">
        <v>3718</v>
      </c>
      <c r="M78" s="28" t="s">
        <v>3698</v>
      </c>
      <c r="N78" s="33" t="s">
        <v>3699</v>
      </c>
      <c r="O78" s="28" t="s">
        <v>3700</v>
      </c>
      <c r="P78" s="28" t="s">
        <v>3701</v>
      </c>
      <c r="Q78" s="28"/>
    </row>
    <row r="79" spans="1:21" ht="38.25" x14ac:dyDescent="0.2">
      <c r="A79" s="28" t="s">
        <v>3896</v>
      </c>
      <c r="B79" s="29" t="str">
        <f>'[1]Calculos Indicadores'!C65</f>
        <v>5.1.2</v>
      </c>
      <c r="C79" s="51" t="b">
        <f t="shared" si="1"/>
        <v>1</v>
      </c>
      <c r="D79" s="52" t="str">
        <f>Calculos!B79</f>
        <v>% Gasto dedicado a personal judicial en el programa 927 Servicio Jurisdiccional respecto del costo de la justicia</v>
      </c>
      <c r="E79" s="28" t="s">
        <v>3063</v>
      </c>
      <c r="F79" s="28" t="s">
        <v>3702</v>
      </c>
      <c r="G79" s="28" t="s">
        <v>3897</v>
      </c>
      <c r="H79" s="28" t="s">
        <v>3898</v>
      </c>
      <c r="I79" s="28" t="s">
        <v>3899</v>
      </c>
      <c r="J79" s="28" t="s">
        <v>3710</v>
      </c>
      <c r="K79" s="28" t="s">
        <v>3696</v>
      </c>
      <c r="L79" s="46" t="s">
        <v>3718</v>
      </c>
      <c r="M79" s="28" t="s">
        <v>3698</v>
      </c>
      <c r="N79" s="33" t="s">
        <v>3699</v>
      </c>
      <c r="O79" s="28" t="s">
        <v>3700</v>
      </c>
      <c r="P79" s="28" t="s">
        <v>3701</v>
      </c>
      <c r="Q79" s="28"/>
    </row>
    <row r="80" spans="1:21" ht="51" x14ac:dyDescent="0.2">
      <c r="A80" s="28" t="s">
        <v>3900</v>
      </c>
      <c r="B80" s="29" t="str">
        <f>'[1]Calculos Indicadores'!C66</f>
        <v>5.1.2.1</v>
      </c>
      <c r="C80" s="51" t="b">
        <f t="shared" si="1"/>
        <v>1</v>
      </c>
      <c r="D80" s="52" t="str">
        <f>Calculos!B80</f>
        <v>% Gasto dedicado a personal judicial en el programa 928 Organismo de investigación Judicial respecto del costo de la justicia</v>
      </c>
      <c r="E80" s="28" t="s">
        <v>3064</v>
      </c>
      <c r="F80" s="28" t="s">
        <v>3702</v>
      </c>
      <c r="G80" s="28" t="s">
        <v>3901</v>
      </c>
      <c r="H80" s="28" t="s">
        <v>3902</v>
      </c>
      <c r="I80" s="28" t="s">
        <v>3903</v>
      </c>
      <c r="J80" s="28" t="s">
        <v>3710</v>
      </c>
      <c r="K80" s="28" t="s">
        <v>3696</v>
      </c>
      <c r="L80" s="46" t="s">
        <v>3718</v>
      </c>
      <c r="M80" s="28" t="s">
        <v>3698</v>
      </c>
      <c r="N80" s="33" t="s">
        <v>3699</v>
      </c>
      <c r="O80" s="28" t="s">
        <v>3700</v>
      </c>
      <c r="P80" s="28" t="s">
        <v>3701</v>
      </c>
      <c r="Q80" s="28"/>
    </row>
    <row r="81" spans="1:17" ht="38.25" x14ac:dyDescent="0.2">
      <c r="A81" s="28" t="s">
        <v>3904</v>
      </c>
      <c r="B81" s="29" t="str">
        <f>'[1]Calculos Indicadores'!C67</f>
        <v>5.1.2.2</v>
      </c>
      <c r="C81" s="51" t="b">
        <f t="shared" si="1"/>
        <v>1</v>
      </c>
      <c r="D81" s="52" t="str">
        <f>Calculos!B81</f>
        <v>% Gasto dedicado a personal judicial en el programa 929 Ministerio Público respecto del costo de la justicia</v>
      </c>
      <c r="E81" s="28" t="s">
        <v>3065</v>
      </c>
      <c r="F81" s="28" t="s">
        <v>3702</v>
      </c>
      <c r="G81" s="28" t="s">
        <v>3905</v>
      </c>
      <c r="H81" s="28" t="s">
        <v>3906</v>
      </c>
      <c r="I81" s="28" t="s">
        <v>3907</v>
      </c>
      <c r="J81" s="28" t="s">
        <v>3710</v>
      </c>
      <c r="K81" s="28" t="s">
        <v>3696</v>
      </c>
      <c r="L81" s="46" t="s">
        <v>3718</v>
      </c>
      <c r="M81" s="28" t="s">
        <v>3698</v>
      </c>
      <c r="N81" s="33" t="s">
        <v>3699</v>
      </c>
      <c r="O81" s="28" t="s">
        <v>3700</v>
      </c>
      <c r="P81" s="28" t="s">
        <v>3701</v>
      </c>
      <c r="Q81" s="28"/>
    </row>
    <row r="82" spans="1:17" ht="38.25" x14ac:dyDescent="0.2">
      <c r="A82" s="28" t="s">
        <v>3908</v>
      </c>
      <c r="B82" s="29" t="str">
        <f>'[1]Calculos Indicadores'!C68</f>
        <v>5.1.2.3</v>
      </c>
      <c r="C82" s="51" t="b">
        <f t="shared" si="1"/>
        <v>1</v>
      </c>
      <c r="D82" s="52" t="str">
        <f>Calculos!B82</f>
        <v>% Gasto dedicado a personal judicial en el programa 930 Defensa Pública respecto del costo de la justicia</v>
      </c>
      <c r="E82" s="28" t="s">
        <v>3066</v>
      </c>
      <c r="F82" s="28" t="s">
        <v>3702</v>
      </c>
      <c r="G82" s="28" t="s">
        <v>3909</v>
      </c>
      <c r="H82" s="28" t="s">
        <v>3910</v>
      </c>
      <c r="I82" s="28" t="s">
        <v>3911</v>
      </c>
      <c r="J82" s="28" t="s">
        <v>3710</v>
      </c>
      <c r="K82" s="28" t="s">
        <v>3696</v>
      </c>
      <c r="L82" s="46" t="s">
        <v>3718</v>
      </c>
      <c r="M82" s="28" t="s">
        <v>3698</v>
      </c>
      <c r="N82" s="33" t="s">
        <v>3699</v>
      </c>
      <c r="O82" s="28" t="s">
        <v>3700</v>
      </c>
      <c r="P82" s="28" t="s">
        <v>3701</v>
      </c>
      <c r="Q82" s="28"/>
    </row>
    <row r="83" spans="1:17" ht="51" x14ac:dyDescent="0.2">
      <c r="A83" s="28" t="s">
        <v>3912</v>
      </c>
      <c r="B83" s="29" t="str">
        <f>'[1]Calculos Indicadores'!C69</f>
        <v>5.1.2.4</v>
      </c>
      <c r="C83" s="51" t="b">
        <f t="shared" si="1"/>
        <v>1</v>
      </c>
      <c r="D83" s="52" t="str">
        <f>Calculos!B83</f>
        <v>% Gasto dedicado a personal judicial en el programa 950 de Atención y Protección a Víctimas y Testigos respecto del costo de la justicia</v>
      </c>
      <c r="E83" s="28" t="s">
        <v>3913</v>
      </c>
      <c r="F83" s="28" t="s">
        <v>3702</v>
      </c>
      <c r="G83" s="28" t="s">
        <v>3914</v>
      </c>
      <c r="H83" s="28" t="s">
        <v>3915</v>
      </c>
      <c r="I83" s="28" t="s">
        <v>3916</v>
      </c>
      <c r="J83" s="28" t="s">
        <v>3710</v>
      </c>
      <c r="K83" s="28" t="s">
        <v>3696</v>
      </c>
      <c r="L83" s="46" t="s">
        <v>3718</v>
      </c>
      <c r="M83" s="28" t="s">
        <v>3698</v>
      </c>
      <c r="N83" s="33" t="s">
        <v>3699</v>
      </c>
      <c r="O83" s="28" t="s">
        <v>3740</v>
      </c>
      <c r="P83" s="28" t="s">
        <v>3701</v>
      </c>
      <c r="Q83" s="28"/>
    </row>
    <row r="84" spans="1:17" ht="63.75" x14ac:dyDescent="0.2">
      <c r="A84" s="46" t="s">
        <v>3917</v>
      </c>
      <c r="B84" s="51" t="str">
        <f>'[1]Calculos Indicadores'!C70</f>
        <v>5.1.2.5</v>
      </c>
      <c r="C84" s="51" t="b">
        <f t="shared" si="1"/>
        <v>1</v>
      </c>
      <c r="D84" s="52" t="str">
        <f>Calculos!B84</f>
        <v>% Gasto dedicado a personal judicial en otros  programas 931 Servicio Notariado, 932 Servicio Justicia de Tránsito, 942 Aporte local préstamo 1377/OC-CR y el 801 superávit</v>
      </c>
      <c r="E84" s="46" t="s">
        <v>3068</v>
      </c>
      <c r="F84" s="46" t="s">
        <v>3702</v>
      </c>
      <c r="G84" s="46" t="s">
        <v>3918</v>
      </c>
      <c r="H84" s="46" t="s">
        <v>3919</v>
      </c>
      <c r="I84" s="46" t="s">
        <v>3920</v>
      </c>
      <c r="J84" s="46" t="s">
        <v>3710</v>
      </c>
      <c r="K84" s="46" t="s">
        <v>3696</v>
      </c>
      <c r="L84" s="46" t="s">
        <v>3718</v>
      </c>
      <c r="M84" s="46" t="s">
        <v>3698</v>
      </c>
      <c r="N84" s="49" t="s">
        <v>3699</v>
      </c>
      <c r="O84" s="46" t="s">
        <v>3700</v>
      </c>
      <c r="P84" s="46" t="s">
        <v>3701</v>
      </c>
      <c r="Q84" s="46"/>
    </row>
    <row r="85" spans="1:17" x14ac:dyDescent="0.2">
      <c r="B85" s="19"/>
      <c r="C85" s="19"/>
      <c r="D85" s="21"/>
    </row>
    <row r="86" spans="1:17" x14ac:dyDescent="0.2">
      <c r="B86" s="19"/>
      <c r="C86" s="19"/>
      <c r="D86" s="21"/>
    </row>
    <row r="87" spans="1:17" x14ac:dyDescent="0.2">
      <c r="B87" s="19"/>
      <c r="C87" s="19"/>
      <c r="D87" s="21"/>
    </row>
    <row r="88" spans="1:17" x14ac:dyDescent="0.2">
      <c r="B88" s="19"/>
      <c r="C88" s="19"/>
      <c r="D88" s="21"/>
      <c r="E88" s="11"/>
    </row>
    <row r="89" spans="1:17" x14ac:dyDescent="0.2">
      <c r="B89" s="19"/>
      <c r="C89" s="19"/>
      <c r="D89" s="21"/>
    </row>
    <row r="90" spans="1:17" x14ac:dyDescent="0.2">
      <c r="B90" s="19"/>
      <c r="C90" s="19"/>
      <c r="D90" s="21"/>
    </row>
    <row r="91" spans="1:17" x14ac:dyDescent="0.2">
      <c r="B91" s="19"/>
      <c r="C91" s="19"/>
      <c r="D91" s="21"/>
    </row>
    <row r="92" spans="1:17" x14ac:dyDescent="0.2">
      <c r="B92" s="19"/>
      <c r="C92" s="19"/>
      <c r="D92" s="21"/>
    </row>
    <row r="93" spans="1:17" x14ac:dyDescent="0.2">
      <c r="B93" s="19"/>
      <c r="C93" s="19"/>
      <c r="D93" s="21"/>
    </row>
    <row r="94" spans="1:17" x14ac:dyDescent="0.2">
      <c r="B94" s="19"/>
      <c r="C94" s="19"/>
      <c r="D94" s="21"/>
    </row>
    <row r="95" spans="1:17" x14ac:dyDescent="0.2">
      <c r="B95" s="19"/>
      <c r="C95" s="19"/>
      <c r="D95" s="21"/>
    </row>
    <row r="96" spans="1:17" x14ac:dyDescent="0.2">
      <c r="B96" s="19"/>
      <c r="C96" s="19"/>
      <c r="D96" s="21"/>
    </row>
    <row r="97" spans="2:4" x14ac:dyDescent="0.2">
      <c r="B97" s="19"/>
      <c r="C97" s="19"/>
      <c r="D97" s="21"/>
    </row>
    <row r="98" spans="2:4" x14ac:dyDescent="0.2">
      <c r="B98" s="19"/>
      <c r="C98" s="19"/>
      <c r="D98" s="21"/>
    </row>
    <row r="99" spans="2:4" x14ac:dyDescent="0.2">
      <c r="B99" s="19"/>
      <c r="C99" s="19"/>
      <c r="D99" s="21"/>
    </row>
    <row r="100" spans="2:4" x14ac:dyDescent="0.2">
      <c r="B100" s="19"/>
      <c r="C100" s="19"/>
      <c r="D100" s="21"/>
    </row>
    <row r="101" spans="2:4" x14ac:dyDescent="0.2">
      <c r="B101" s="19"/>
      <c r="C101" s="19"/>
      <c r="D101" s="21"/>
    </row>
    <row r="102" spans="2:4" x14ac:dyDescent="0.2">
      <c r="B102" s="19"/>
      <c r="C102" s="19"/>
      <c r="D102" s="21"/>
    </row>
    <row r="103" spans="2:4" x14ac:dyDescent="0.2">
      <c r="B103" s="19"/>
      <c r="C103" s="19"/>
      <c r="D103" s="21"/>
    </row>
    <row r="104" spans="2:4" x14ac:dyDescent="0.2">
      <c r="B104" s="19"/>
      <c r="C104" s="19"/>
      <c r="D104" s="21"/>
    </row>
    <row r="105" spans="2:4" x14ac:dyDescent="0.2">
      <c r="B105" s="19"/>
      <c r="C105" s="19"/>
      <c r="D105" s="21"/>
    </row>
    <row r="106" spans="2:4" x14ac:dyDescent="0.2">
      <c r="B106" s="19"/>
      <c r="C106" s="19"/>
      <c r="D106" s="21"/>
    </row>
    <row r="107" spans="2:4" x14ac:dyDescent="0.2">
      <c r="B107" s="19"/>
      <c r="C107" s="19"/>
      <c r="D107" s="21"/>
    </row>
    <row r="108" spans="2:4" x14ac:dyDescent="0.2">
      <c r="B108" s="19"/>
      <c r="C108" s="19"/>
      <c r="D108" s="21"/>
    </row>
    <row r="109" spans="2:4" x14ac:dyDescent="0.2">
      <c r="B109" s="19"/>
      <c r="C109" s="19"/>
      <c r="D109" s="21"/>
    </row>
    <row r="110" spans="2:4" x14ac:dyDescent="0.2">
      <c r="B110" s="19"/>
      <c r="C110" s="19"/>
      <c r="D110" s="21"/>
    </row>
    <row r="111" spans="2:4" x14ac:dyDescent="0.2">
      <c r="B111" s="19"/>
      <c r="C111" s="19"/>
      <c r="D111" s="21"/>
    </row>
    <row r="112" spans="2:4" x14ac:dyDescent="0.2">
      <c r="B112" s="19"/>
      <c r="C112" s="19"/>
      <c r="D112" s="21"/>
    </row>
    <row r="113" spans="2:4" x14ac:dyDescent="0.2">
      <c r="B113" s="19"/>
      <c r="C113" s="19"/>
      <c r="D113" s="21"/>
    </row>
    <row r="114" spans="2:4" x14ac:dyDescent="0.2">
      <c r="B114" s="19"/>
      <c r="C114" s="19"/>
      <c r="D114" s="21"/>
    </row>
    <row r="115" spans="2:4" x14ac:dyDescent="0.2">
      <c r="B115" s="19"/>
      <c r="C115" s="19"/>
      <c r="D115" s="21"/>
    </row>
    <row r="116" spans="2:4" x14ac:dyDescent="0.2">
      <c r="B116" s="19"/>
      <c r="C116" s="19"/>
      <c r="D116" s="21"/>
    </row>
    <row r="117" spans="2:4" x14ac:dyDescent="0.2">
      <c r="B117" s="19"/>
      <c r="C117" s="19"/>
      <c r="D117" s="21"/>
    </row>
    <row r="118" spans="2:4" x14ac:dyDescent="0.2">
      <c r="B118" s="19"/>
      <c r="C118" s="19"/>
      <c r="D118" s="21"/>
    </row>
    <row r="119" spans="2:4" x14ac:dyDescent="0.2">
      <c r="B119" s="19"/>
      <c r="C119" s="19"/>
      <c r="D119" s="21"/>
    </row>
    <row r="120" spans="2:4" x14ac:dyDescent="0.2">
      <c r="B120" s="19"/>
      <c r="C120" s="19"/>
      <c r="D120" s="21"/>
    </row>
    <row r="121" spans="2:4" x14ac:dyDescent="0.2">
      <c r="B121" s="19"/>
      <c r="C121" s="19"/>
      <c r="D121" s="21"/>
    </row>
    <row r="122" spans="2:4" x14ac:dyDescent="0.2">
      <c r="B122" s="19"/>
      <c r="C122" s="19"/>
      <c r="D122" s="21"/>
    </row>
    <row r="123" spans="2:4" x14ac:dyDescent="0.2">
      <c r="B123" s="19"/>
      <c r="C123" s="19"/>
      <c r="D123" s="21"/>
    </row>
    <row r="124" spans="2:4" x14ac:dyDescent="0.2">
      <c r="B124" s="19"/>
      <c r="C124" s="19"/>
      <c r="D124" s="21"/>
    </row>
    <row r="125" spans="2:4" x14ac:dyDescent="0.2">
      <c r="B125" s="19"/>
      <c r="C125" s="19"/>
      <c r="D125" s="21"/>
    </row>
    <row r="126" spans="2:4" x14ac:dyDescent="0.2">
      <c r="B126" s="19"/>
      <c r="C126" s="19"/>
      <c r="D126" s="21"/>
    </row>
    <row r="127" spans="2:4" x14ac:dyDescent="0.2">
      <c r="B127" s="19"/>
      <c r="C127" s="19"/>
      <c r="D127" s="21"/>
    </row>
    <row r="128" spans="2:4" x14ac:dyDescent="0.2">
      <c r="B128" s="19"/>
      <c r="C128" s="19"/>
      <c r="D128" s="21"/>
    </row>
    <row r="129" spans="2:4" x14ac:dyDescent="0.2">
      <c r="B129" s="19"/>
      <c r="C129" s="19"/>
      <c r="D129" s="21"/>
    </row>
    <row r="130" spans="2:4" x14ac:dyDescent="0.2">
      <c r="B130" s="19"/>
      <c r="C130" s="19"/>
      <c r="D130" s="21"/>
    </row>
    <row r="131" spans="2:4" x14ac:dyDescent="0.2">
      <c r="B131" s="19"/>
      <c r="C131" s="19"/>
      <c r="D131" s="21"/>
    </row>
    <row r="132" spans="2:4" x14ac:dyDescent="0.2">
      <c r="B132" s="19"/>
      <c r="C132" s="19"/>
      <c r="D132" s="21"/>
    </row>
    <row r="133" spans="2:4" x14ac:dyDescent="0.2">
      <c r="B133" s="19"/>
      <c r="C133" s="19"/>
      <c r="D133" s="21"/>
    </row>
    <row r="134" spans="2:4" x14ac:dyDescent="0.2">
      <c r="B134" s="19"/>
      <c r="C134" s="19"/>
      <c r="D134" s="21"/>
    </row>
    <row r="135" spans="2:4" x14ac:dyDescent="0.2">
      <c r="B135" s="19"/>
      <c r="C135" s="19"/>
      <c r="D135" s="21"/>
    </row>
    <row r="136" spans="2:4" x14ac:dyDescent="0.2">
      <c r="B136" s="19"/>
      <c r="C136" s="19"/>
      <c r="D136" s="21"/>
    </row>
    <row r="137" spans="2:4" x14ac:dyDescent="0.2">
      <c r="B137" s="19"/>
      <c r="C137" s="19"/>
      <c r="D137" s="21"/>
    </row>
    <row r="138" spans="2:4" x14ac:dyDescent="0.2">
      <c r="B138" s="19"/>
      <c r="C138" s="19"/>
      <c r="D138" s="21"/>
    </row>
    <row r="139" spans="2:4" x14ac:dyDescent="0.2">
      <c r="B139" s="19"/>
      <c r="C139" s="19"/>
      <c r="D139" s="21"/>
    </row>
    <row r="140" spans="2:4" x14ac:dyDescent="0.2">
      <c r="B140" s="19"/>
      <c r="C140" s="19"/>
      <c r="D140" s="21"/>
    </row>
    <row r="141" spans="2:4" x14ac:dyDescent="0.2">
      <c r="B141" s="19"/>
      <c r="C141" s="19"/>
      <c r="D141" s="21"/>
    </row>
    <row r="142" spans="2:4" x14ac:dyDescent="0.2">
      <c r="B142" s="19"/>
      <c r="C142" s="19"/>
      <c r="D142" s="21"/>
    </row>
    <row r="143" spans="2:4" x14ac:dyDescent="0.2">
      <c r="B143" s="19"/>
      <c r="C143" s="19"/>
      <c r="D143" s="21"/>
    </row>
    <row r="144" spans="2:4" x14ac:dyDescent="0.2">
      <c r="B144" s="19"/>
      <c r="C144" s="19"/>
      <c r="D144" s="21"/>
    </row>
    <row r="145" spans="2:4" x14ac:dyDescent="0.2">
      <c r="B145" s="19"/>
      <c r="C145" s="19"/>
      <c r="D145" s="21"/>
    </row>
    <row r="146" spans="2:4" x14ac:dyDescent="0.2">
      <c r="B146" s="19"/>
      <c r="C146" s="19"/>
      <c r="D146" s="21"/>
    </row>
    <row r="147" spans="2:4" x14ac:dyDescent="0.2">
      <c r="B147" s="19"/>
      <c r="C147" s="19"/>
      <c r="D147" s="21"/>
    </row>
    <row r="148" spans="2:4" x14ac:dyDescent="0.2">
      <c r="B148" s="19"/>
      <c r="C148" s="19"/>
      <c r="D148" s="21"/>
    </row>
    <row r="149" spans="2:4" x14ac:dyDescent="0.2">
      <c r="B149" s="19"/>
      <c r="C149" s="19"/>
      <c r="D149" s="21"/>
    </row>
    <row r="150" spans="2:4" x14ac:dyDescent="0.2">
      <c r="B150" s="19"/>
      <c r="C150" s="19"/>
      <c r="D150" s="21"/>
    </row>
    <row r="151" spans="2:4" x14ac:dyDescent="0.2">
      <c r="B151" s="19"/>
      <c r="C151" s="19"/>
      <c r="D151" s="21"/>
    </row>
    <row r="152" spans="2:4" x14ac:dyDescent="0.2">
      <c r="B152" s="19"/>
      <c r="C152" s="19"/>
      <c r="D152" s="21"/>
    </row>
    <row r="153" spans="2:4" x14ac:dyDescent="0.2">
      <c r="B153" s="19"/>
      <c r="C153" s="19"/>
      <c r="D153" s="21"/>
    </row>
    <row r="154" spans="2:4" x14ac:dyDescent="0.2">
      <c r="B154" s="19"/>
      <c r="C154" s="19"/>
      <c r="D154" s="21"/>
    </row>
    <row r="155" spans="2:4" x14ac:dyDescent="0.2">
      <c r="B155" s="19"/>
      <c r="C155" s="19"/>
      <c r="D155" s="21"/>
    </row>
    <row r="156" spans="2:4" x14ac:dyDescent="0.2">
      <c r="B156" s="19"/>
      <c r="C156" s="19"/>
      <c r="D156" s="21"/>
    </row>
    <row r="157" spans="2:4" x14ac:dyDescent="0.2">
      <c r="B157" s="19"/>
      <c r="C157" s="19"/>
      <c r="D157" s="21"/>
    </row>
    <row r="158" spans="2:4" x14ac:dyDescent="0.2">
      <c r="B158" s="19"/>
      <c r="C158" s="19"/>
      <c r="D158" s="21"/>
    </row>
    <row r="159" spans="2:4" x14ac:dyDescent="0.2">
      <c r="B159" s="19"/>
      <c r="C159" s="19"/>
      <c r="D159" s="21"/>
    </row>
    <row r="160" spans="2:4" x14ac:dyDescent="0.2">
      <c r="B160" s="19"/>
      <c r="C160" s="19"/>
      <c r="D160" s="21"/>
    </row>
    <row r="161" spans="2:4" x14ac:dyDescent="0.2">
      <c r="B161" s="19"/>
      <c r="C161" s="19"/>
      <c r="D161" s="21"/>
    </row>
    <row r="162" spans="2:4" x14ac:dyDescent="0.2">
      <c r="B162" s="19"/>
      <c r="C162" s="19"/>
      <c r="D162" s="21"/>
    </row>
    <row r="163" spans="2:4" x14ac:dyDescent="0.2">
      <c r="B163" s="19"/>
      <c r="C163" s="19"/>
      <c r="D163" s="21"/>
    </row>
    <row r="164" spans="2:4" x14ac:dyDescent="0.2">
      <c r="B164" s="19"/>
      <c r="C164" s="19"/>
      <c r="D164" s="21"/>
    </row>
    <row r="165" spans="2:4" x14ac:dyDescent="0.2">
      <c r="B165" s="19"/>
      <c r="C165" s="19"/>
      <c r="D165" s="21"/>
    </row>
    <row r="166" spans="2:4" x14ac:dyDescent="0.2">
      <c r="B166" s="19"/>
      <c r="C166" s="19"/>
      <c r="D166" s="21"/>
    </row>
    <row r="167" spans="2:4" x14ac:dyDescent="0.2">
      <c r="B167" s="19"/>
      <c r="C167" s="19"/>
      <c r="D167" s="21"/>
    </row>
    <row r="168" spans="2:4" x14ac:dyDescent="0.2">
      <c r="B168" s="19"/>
      <c r="C168" s="19"/>
      <c r="D168" s="21"/>
    </row>
    <row r="169" spans="2:4" x14ac:dyDescent="0.2">
      <c r="B169" s="19"/>
      <c r="C169" s="19"/>
      <c r="D169" s="21"/>
    </row>
    <row r="170" spans="2:4" x14ac:dyDescent="0.2">
      <c r="B170" s="19"/>
      <c r="C170" s="19"/>
      <c r="D170" s="21"/>
    </row>
    <row r="171" spans="2:4" x14ac:dyDescent="0.2">
      <c r="B171" s="19"/>
      <c r="C171" s="19"/>
      <c r="D171" s="21"/>
    </row>
    <row r="172" spans="2:4" x14ac:dyDescent="0.2">
      <c r="B172" s="19"/>
      <c r="C172" s="19"/>
      <c r="D172" s="21"/>
    </row>
    <row r="173" spans="2:4" x14ac:dyDescent="0.2">
      <c r="B173" s="19"/>
      <c r="C173" s="19"/>
      <c r="D173" s="21"/>
    </row>
    <row r="174" spans="2:4" x14ac:dyDescent="0.2">
      <c r="B174" s="19"/>
      <c r="C174" s="19"/>
      <c r="D174" s="21"/>
    </row>
    <row r="175" spans="2:4" x14ac:dyDescent="0.2">
      <c r="B175" s="19"/>
      <c r="C175" s="19"/>
      <c r="D175" s="21"/>
    </row>
    <row r="176" spans="2:4" x14ac:dyDescent="0.2">
      <c r="B176" s="19"/>
      <c r="C176" s="19"/>
      <c r="D176" s="21"/>
    </row>
    <row r="177" spans="2:4" x14ac:dyDescent="0.2">
      <c r="B177" s="19"/>
      <c r="C177" s="19"/>
      <c r="D177" s="21"/>
    </row>
    <row r="178" spans="2:4" x14ac:dyDescent="0.2">
      <c r="B178" s="19"/>
      <c r="C178" s="19"/>
      <c r="D178" s="21"/>
    </row>
    <row r="179" spans="2:4" x14ac:dyDescent="0.2">
      <c r="B179" s="19"/>
      <c r="C179" s="19"/>
      <c r="D179" s="21"/>
    </row>
    <row r="180" spans="2:4" x14ac:dyDescent="0.2">
      <c r="B180" s="19"/>
      <c r="C180" s="19"/>
      <c r="D180" s="21"/>
    </row>
    <row r="181" spans="2:4" x14ac:dyDescent="0.2">
      <c r="B181" s="19"/>
      <c r="C181" s="19"/>
      <c r="D181" s="21"/>
    </row>
    <row r="182" spans="2:4" x14ac:dyDescent="0.2">
      <c r="B182" s="19"/>
      <c r="C182" s="19"/>
      <c r="D182" s="21"/>
    </row>
    <row r="183" spans="2:4" x14ac:dyDescent="0.2">
      <c r="B183" s="19"/>
      <c r="C183" s="19"/>
      <c r="D183" s="21"/>
    </row>
    <row r="184" spans="2:4" x14ac:dyDescent="0.2">
      <c r="B184" s="19"/>
      <c r="C184" s="19"/>
      <c r="D184" s="21"/>
    </row>
    <row r="185" spans="2:4" x14ac:dyDescent="0.2">
      <c r="B185" s="19"/>
      <c r="C185" s="19"/>
      <c r="D185" s="21"/>
    </row>
    <row r="186" spans="2:4" x14ac:dyDescent="0.2">
      <c r="B186" s="19"/>
      <c r="C186" s="19"/>
      <c r="D186" s="21"/>
    </row>
    <row r="187" spans="2:4" x14ac:dyDescent="0.2">
      <c r="B187" s="19"/>
      <c r="C187" s="19"/>
      <c r="D187" s="21"/>
    </row>
    <row r="188" spans="2:4" x14ac:dyDescent="0.2">
      <c r="B188" s="19"/>
      <c r="C188" s="19"/>
      <c r="D188" s="21"/>
    </row>
    <row r="189" spans="2:4" x14ac:dyDescent="0.2">
      <c r="B189" s="19"/>
      <c r="C189" s="19"/>
      <c r="D189" s="21"/>
    </row>
    <row r="190" spans="2:4" x14ac:dyDescent="0.2">
      <c r="B190" s="19"/>
      <c r="C190" s="19"/>
      <c r="D190" s="21"/>
    </row>
    <row r="191" spans="2:4" x14ac:dyDescent="0.2">
      <c r="B191" s="19"/>
      <c r="C191" s="19"/>
      <c r="D191" s="21"/>
    </row>
    <row r="192" spans="2:4" x14ac:dyDescent="0.2">
      <c r="B192" s="19"/>
      <c r="C192" s="19"/>
      <c r="D192" s="21"/>
    </row>
    <row r="193" spans="2:4" x14ac:dyDescent="0.2">
      <c r="B193" s="19"/>
      <c r="C193" s="19"/>
      <c r="D193" s="21"/>
    </row>
    <row r="194" spans="2:4" x14ac:dyDescent="0.2">
      <c r="B194" s="19"/>
      <c r="C194" s="19"/>
      <c r="D194" s="21"/>
    </row>
    <row r="195" spans="2:4" x14ac:dyDescent="0.2">
      <c r="B195" s="19"/>
      <c r="C195" s="19"/>
      <c r="D195" s="21"/>
    </row>
    <row r="196" spans="2:4" x14ac:dyDescent="0.2">
      <c r="B196" s="19"/>
      <c r="C196" s="19"/>
      <c r="D196" s="21"/>
    </row>
    <row r="197" spans="2:4" x14ac:dyDescent="0.2">
      <c r="B197" s="19"/>
      <c r="C197" s="19"/>
      <c r="D197" s="21"/>
    </row>
    <row r="198" spans="2:4" x14ac:dyDescent="0.2">
      <c r="B198" s="19"/>
      <c r="C198" s="19"/>
      <c r="D198" s="21"/>
    </row>
    <row r="199" spans="2:4" x14ac:dyDescent="0.2">
      <c r="B199" s="19"/>
      <c r="C199" s="19"/>
      <c r="D199" s="21"/>
    </row>
    <row r="200" spans="2:4" x14ac:dyDescent="0.2">
      <c r="B200" s="19"/>
      <c r="C200" s="19"/>
      <c r="D200" s="21"/>
    </row>
    <row r="201" spans="2:4" x14ac:dyDescent="0.2">
      <c r="B201" s="19"/>
      <c r="C201" s="19"/>
      <c r="D201" s="21"/>
    </row>
    <row r="202" spans="2:4" x14ac:dyDescent="0.2">
      <c r="B202" s="19"/>
      <c r="C202" s="19"/>
      <c r="D202" s="21"/>
    </row>
    <row r="203" spans="2:4" x14ac:dyDescent="0.2">
      <c r="B203" s="19"/>
      <c r="C203" s="19"/>
      <c r="D203" s="21"/>
    </row>
    <row r="204" spans="2:4" x14ac:dyDescent="0.2">
      <c r="B204" s="19"/>
      <c r="C204" s="19"/>
      <c r="D204" s="21"/>
    </row>
    <row r="205" spans="2:4" x14ac:dyDescent="0.2">
      <c r="B205" s="19"/>
      <c r="C205" s="19"/>
      <c r="D205" s="21"/>
    </row>
    <row r="206" spans="2:4" x14ac:dyDescent="0.2">
      <c r="B206" s="19"/>
      <c r="C206" s="19"/>
      <c r="D206" s="21"/>
    </row>
    <row r="207" spans="2:4" x14ac:dyDescent="0.2">
      <c r="B207" s="19"/>
      <c r="C207" s="19"/>
      <c r="D207" s="21"/>
    </row>
    <row r="208" spans="2:4" x14ac:dyDescent="0.2">
      <c r="B208" s="19"/>
      <c r="C208" s="19"/>
      <c r="D208" s="21"/>
    </row>
    <row r="209" spans="2:4" x14ac:dyDescent="0.2">
      <c r="B209" s="19"/>
      <c r="C209" s="19"/>
      <c r="D209" s="21"/>
    </row>
    <row r="210" spans="2:4" x14ac:dyDescent="0.2">
      <c r="B210" s="19"/>
      <c r="C210" s="19"/>
      <c r="D210" s="21"/>
    </row>
    <row r="211" spans="2:4" x14ac:dyDescent="0.2">
      <c r="B211" s="19"/>
      <c r="C211" s="19"/>
      <c r="D211" s="21"/>
    </row>
    <row r="212" spans="2:4" x14ac:dyDescent="0.2">
      <c r="B212" s="19"/>
      <c r="C212" s="19"/>
      <c r="D212" s="21"/>
    </row>
    <row r="213" spans="2:4" x14ac:dyDescent="0.2">
      <c r="B213" s="19"/>
      <c r="C213" s="19"/>
      <c r="D213" s="21"/>
    </row>
    <row r="214" spans="2:4" x14ac:dyDescent="0.2">
      <c r="B214" s="19"/>
      <c r="C214" s="19"/>
      <c r="D214" s="21"/>
    </row>
    <row r="215" spans="2:4" x14ac:dyDescent="0.2">
      <c r="B215" s="19"/>
      <c r="C215" s="19"/>
      <c r="D215" s="21"/>
    </row>
    <row r="216" spans="2:4" x14ac:dyDescent="0.2">
      <c r="B216" s="19"/>
      <c r="C216" s="19"/>
      <c r="D216" s="21"/>
    </row>
    <row r="217" spans="2:4" x14ac:dyDescent="0.2">
      <c r="B217" s="19"/>
      <c r="C217" s="19"/>
      <c r="D217" s="21"/>
    </row>
    <row r="218" spans="2:4" x14ac:dyDescent="0.2">
      <c r="B218" s="19"/>
      <c r="C218" s="19"/>
      <c r="D218" s="21"/>
    </row>
    <row r="219" spans="2:4" x14ac:dyDescent="0.2">
      <c r="B219" s="19"/>
      <c r="C219" s="19"/>
      <c r="D219" s="21"/>
    </row>
    <row r="220" spans="2:4" x14ac:dyDescent="0.2">
      <c r="B220" s="19"/>
      <c r="C220" s="19"/>
      <c r="D220" s="21"/>
    </row>
    <row r="221" spans="2:4" x14ac:dyDescent="0.2">
      <c r="B221" s="19"/>
      <c r="C221" s="19"/>
      <c r="D221" s="21"/>
    </row>
    <row r="222" spans="2:4" x14ac:dyDescent="0.2">
      <c r="B222" s="19"/>
      <c r="C222" s="19"/>
      <c r="D222" s="21"/>
    </row>
    <row r="223" spans="2:4" x14ac:dyDescent="0.2">
      <c r="B223" s="19"/>
      <c r="C223" s="19"/>
      <c r="D223" s="21"/>
    </row>
    <row r="224" spans="2:4" x14ac:dyDescent="0.2">
      <c r="B224" s="19"/>
      <c r="C224" s="19"/>
      <c r="D224" s="21"/>
    </row>
    <row r="225" spans="2:4" x14ac:dyDescent="0.2">
      <c r="B225" s="19"/>
      <c r="C225" s="19"/>
      <c r="D225" s="21"/>
    </row>
    <row r="226" spans="2:4" x14ac:dyDescent="0.2">
      <c r="B226" s="19"/>
      <c r="C226" s="19"/>
      <c r="D226" s="21"/>
    </row>
    <row r="227" spans="2:4" x14ac:dyDescent="0.2">
      <c r="B227" s="19"/>
      <c r="C227" s="19"/>
      <c r="D227" s="21"/>
    </row>
    <row r="228" spans="2:4" x14ac:dyDescent="0.2">
      <c r="B228" s="19"/>
      <c r="C228" s="19"/>
      <c r="D228" s="21"/>
    </row>
    <row r="229" spans="2:4" x14ac:dyDescent="0.2">
      <c r="B229" s="19"/>
      <c r="C229" s="19"/>
      <c r="D229" s="21"/>
    </row>
    <row r="230" spans="2:4" x14ac:dyDescent="0.2">
      <c r="B230" s="19"/>
      <c r="C230" s="19"/>
      <c r="D230" s="21"/>
    </row>
    <row r="231" spans="2:4" x14ac:dyDescent="0.2">
      <c r="B231" s="19"/>
      <c r="C231" s="19"/>
      <c r="D231" s="21"/>
    </row>
    <row r="232" spans="2:4" x14ac:dyDescent="0.2">
      <c r="B232" s="19"/>
      <c r="C232" s="19"/>
      <c r="D232" s="21"/>
    </row>
    <row r="233" spans="2:4" x14ac:dyDescent="0.2">
      <c r="B233" s="19"/>
      <c r="C233" s="19"/>
      <c r="D233" s="21"/>
    </row>
    <row r="234" spans="2:4" x14ac:dyDescent="0.2">
      <c r="B234" s="19"/>
      <c r="C234" s="19"/>
      <c r="D234" s="21"/>
    </row>
    <row r="235" spans="2:4" x14ac:dyDescent="0.2">
      <c r="B235" s="19"/>
      <c r="C235" s="19"/>
      <c r="D235" s="21"/>
    </row>
    <row r="236" spans="2:4" x14ac:dyDescent="0.2">
      <c r="B236" s="19"/>
      <c r="C236" s="19"/>
      <c r="D236" s="21"/>
    </row>
    <row r="237" spans="2:4" x14ac:dyDescent="0.2">
      <c r="B237" s="19"/>
      <c r="C237" s="19"/>
      <c r="D237" s="21"/>
    </row>
    <row r="238" spans="2:4" x14ac:dyDescent="0.2">
      <c r="B238" s="19"/>
      <c r="C238" s="19"/>
      <c r="D238" s="21"/>
    </row>
    <row r="239" spans="2:4" x14ac:dyDescent="0.2">
      <c r="B239" s="19"/>
      <c r="C239" s="19"/>
      <c r="D239" s="21"/>
    </row>
    <row r="240" spans="2:4" x14ac:dyDescent="0.2">
      <c r="B240" s="19"/>
      <c r="C240" s="19"/>
      <c r="D240" s="21"/>
    </row>
    <row r="241" spans="2:4" x14ac:dyDescent="0.2">
      <c r="B241" s="19"/>
      <c r="C241" s="19"/>
      <c r="D241" s="21"/>
    </row>
    <row r="242" spans="2:4" x14ac:dyDescent="0.2">
      <c r="B242" s="19"/>
      <c r="C242" s="19"/>
      <c r="D242" s="21"/>
    </row>
    <row r="243" spans="2:4" x14ac:dyDescent="0.2">
      <c r="B243" s="19"/>
      <c r="C243" s="19"/>
      <c r="D243" s="21"/>
    </row>
    <row r="244" spans="2:4" x14ac:dyDescent="0.2">
      <c r="B244" s="19"/>
      <c r="C244" s="19"/>
      <c r="D244" s="21"/>
    </row>
    <row r="245" spans="2:4" x14ac:dyDescent="0.2">
      <c r="B245" s="19"/>
      <c r="C245" s="19"/>
      <c r="D245" s="21"/>
    </row>
    <row r="246" spans="2:4" x14ac:dyDescent="0.2">
      <c r="B246" s="19"/>
      <c r="C246" s="19"/>
      <c r="D246" s="21"/>
    </row>
    <row r="247" spans="2:4" x14ac:dyDescent="0.2">
      <c r="B247" s="19"/>
      <c r="C247" s="19"/>
      <c r="D247" s="21"/>
    </row>
    <row r="248" spans="2:4" x14ac:dyDescent="0.2">
      <c r="B248" s="19"/>
      <c r="C248" s="19"/>
      <c r="D248" s="21"/>
    </row>
    <row r="249" spans="2:4" x14ac:dyDescent="0.2">
      <c r="B249" s="19"/>
      <c r="C249" s="19"/>
      <c r="D249" s="21"/>
    </row>
    <row r="250" spans="2:4" x14ac:dyDescent="0.2">
      <c r="B250" s="19"/>
      <c r="C250" s="19"/>
      <c r="D250" s="21"/>
    </row>
    <row r="251" spans="2:4" x14ac:dyDescent="0.2">
      <c r="B251" s="19"/>
      <c r="C251" s="19"/>
      <c r="D251" s="21"/>
    </row>
    <row r="252" spans="2:4" x14ac:dyDescent="0.2">
      <c r="B252" s="19"/>
      <c r="C252" s="19"/>
      <c r="D252" s="21"/>
    </row>
    <row r="253" spans="2:4" x14ac:dyDescent="0.2">
      <c r="B253" s="19"/>
      <c r="C253" s="19"/>
      <c r="D253" s="21"/>
    </row>
    <row r="254" spans="2:4" x14ac:dyDescent="0.2">
      <c r="B254" s="19"/>
      <c r="C254" s="19"/>
      <c r="D254" s="21"/>
    </row>
    <row r="255" spans="2:4" x14ac:dyDescent="0.2">
      <c r="B255" s="19"/>
      <c r="C255" s="19"/>
      <c r="D255" s="21"/>
    </row>
    <row r="256" spans="2:4" x14ac:dyDescent="0.2">
      <c r="B256" s="19"/>
      <c r="C256" s="19"/>
      <c r="D256" s="21"/>
    </row>
    <row r="257" spans="2:4" x14ac:dyDescent="0.2">
      <c r="B257" s="19"/>
      <c r="C257" s="19"/>
      <c r="D257" s="21"/>
    </row>
    <row r="258" spans="2:4" x14ac:dyDescent="0.2">
      <c r="B258" s="19"/>
      <c r="C258" s="19"/>
      <c r="D258" s="21"/>
    </row>
    <row r="259" spans="2:4" x14ac:dyDescent="0.2">
      <c r="B259" s="19"/>
      <c r="C259" s="19"/>
      <c r="D259" s="21"/>
    </row>
    <row r="260" spans="2:4" x14ac:dyDescent="0.2">
      <c r="B260" s="19"/>
      <c r="C260" s="19"/>
      <c r="D260" s="21"/>
    </row>
    <row r="261" spans="2:4" x14ac:dyDescent="0.2">
      <c r="B261" s="19"/>
      <c r="C261" s="19"/>
      <c r="D261" s="21"/>
    </row>
    <row r="262" spans="2:4" x14ac:dyDescent="0.2">
      <c r="B262" s="19"/>
      <c r="C262" s="19"/>
      <c r="D262" s="21"/>
    </row>
    <row r="263" spans="2:4" x14ac:dyDescent="0.2">
      <c r="B263" s="19"/>
      <c r="C263" s="19"/>
      <c r="D263" s="21"/>
    </row>
    <row r="264" spans="2:4" x14ac:dyDescent="0.2">
      <c r="B264" s="19"/>
      <c r="C264" s="19"/>
      <c r="D264" s="21"/>
    </row>
    <row r="265" spans="2:4" x14ac:dyDescent="0.2">
      <c r="B265" s="19"/>
      <c r="C265" s="19"/>
      <c r="D265" s="21"/>
    </row>
    <row r="266" spans="2:4" x14ac:dyDescent="0.2">
      <c r="B266" s="19"/>
      <c r="C266" s="19"/>
      <c r="D266" s="21"/>
    </row>
    <row r="267" spans="2:4" x14ac:dyDescent="0.2">
      <c r="B267" s="19"/>
      <c r="C267" s="19"/>
      <c r="D267" s="21"/>
    </row>
    <row r="268" spans="2:4" x14ac:dyDescent="0.2">
      <c r="B268" s="19"/>
      <c r="C268" s="19"/>
      <c r="D268" s="21"/>
    </row>
    <row r="269" spans="2:4" x14ac:dyDescent="0.2">
      <c r="B269" s="19"/>
      <c r="C269" s="19"/>
      <c r="D269" s="21"/>
    </row>
    <row r="270" spans="2:4" x14ac:dyDescent="0.2">
      <c r="B270" s="19"/>
      <c r="C270" s="19"/>
      <c r="D270" s="21"/>
    </row>
    <row r="271" spans="2:4" x14ac:dyDescent="0.2">
      <c r="B271" s="19"/>
      <c r="C271" s="19"/>
      <c r="D271" s="21"/>
    </row>
    <row r="272" spans="2:4" x14ac:dyDescent="0.2">
      <c r="B272" s="19"/>
      <c r="C272" s="19"/>
      <c r="D272" s="21"/>
    </row>
    <row r="273" spans="2:4" x14ac:dyDescent="0.2">
      <c r="B273" s="19"/>
      <c r="C273" s="19"/>
      <c r="D273" s="21"/>
    </row>
    <row r="274" spans="2:4" x14ac:dyDescent="0.2">
      <c r="B274" s="19"/>
      <c r="C274" s="19"/>
      <c r="D274" s="21"/>
    </row>
    <row r="275" spans="2:4" x14ac:dyDescent="0.2">
      <c r="B275" s="19"/>
      <c r="C275" s="19"/>
      <c r="D275" s="21"/>
    </row>
    <row r="276" spans="2:4" x14ac:dyDescent="0.2">
      <c r="B276" s="19"/>
      <c r="C276" s="19"/>
      <c r="D276" s="21"/>
    </row>
    <row r="277" spans="2:4" x14ac:dyDescent="0.2">
      <c r="B277" s="19"/>
      <c r="C277" s="19"/>
      <c r="D277" s="21"/>
    </row>
    <row r="278" spans="2:4" x14ac:dyDescent="0.2">
      <c r="B278" s="19"/>
      <c r="C278" s="19"/>
      <c r="D278" s="21"/>
    </row>
    <row r="279" spans="2:4" x14ac:dyDescent="0.2">
      <c r="B279" s="19"/>
      <c r="C279" s="19"/>
      <c r="D279" s="21"/>
    </row>
    <row r="280" spans="2:4" x14ac:dyDescent="0.2">
      <c r="B280" s="19"/>
      <c r="C280" s="19"/>
      <c r="D280" s="21"/>
    </row>
    <row r="281" spans="2:4" x14ac:dyDescent="0.2">
      <c r="B281" s="19"/>
      <c r="C281" s="19"/>
      <c r="D281" s="21"/>
    </row>
    <row r="282" spans="2:4" x14ac:dyDescent="0.2">
      <c r="B282" s="19"/>
      <c r="C282" s="19"/>
      <c r="D282" s="21"/>
    </row>
    <row r="283" spans="2:4" x14ac:dyDescent="0.2">
      <c r="B283" s="19"/>
      <c r="C283" s="19"/>
      <c r="D283" s="21"/>
    </row>
    <row r="284" spans="2:4" x14ac:dyDescent="0.2">
      <c r="B284" s="19"/>
      <c r="C284" s="19"/>
      <c r="D284" s="21"/>
    </row>
    <row r="285" spans="2:4" x14ac:dyDescent="0.2">
      <c r="B285" s="19"/>
      <c r="C285" s="19"/>
      <c r="D285" s="21"/>
    </row>
    <row r="286" spans="2:4" x14ac:dyDescent="0.2">
      <c r="B286" s="19"/>
      <c r="C286" s="19"/>
      <c r="D286" s="21"/>
    </row>
    <row r="287" spans="2:4" x14ac:dyDescent="0.2">
      <c r="B287" s="19"/>
      <c r="C287" s="19"/>
      <c r="D287" s="21"/>
    </row>
    <row r="288" spans="2:4" x14ac:dyDescent="0.2">
      <c r="B288" s="19"/>
      <c r="C288" s="19"/>
      <c r="D288" s="21"/>
    </row>
    <row r="289" spans="2:4" x14ac:dyDescent="0.2">
      <c r="B289" s="19"/>
      <c r="C289" s="19"/>
      <c r="D289" s="21"/>
    </row>
    <row r="290" spans="2:4" x14ac:dyDescent="0.2">
      <c r="B290" s="19"/>
      <c r="C290" s="19"/>
      <c r="D290" s="21"/>
    </row>
    <row r="291" spans="2:4" x14ac:dyDescent="0.2">
      <c r="B291" s="19"/>
      <c r="C291" s="19"/>
      <c r="D291" s="21"/>
    </row>
    <row r="292" spans="2:4" x14ac:dyDescent="0.2">
      <c r="B292" s="19"/>
      <c r="C292" s="19"/>
      <c r="D292" s="21"/>
    </row>
    <row r="293" spans="2:4" x14ac:dyDescent="0.2">
      <c r="B293" s="19"/>
      <c r="C293" s="19"/>
      <c r="D293" s="21"/>
    </row>
    <row r="294" spans="2:4" x14ac:dyDescent="0.2">
      <c r="B294" s="19"/>
      <c r="C294" s="19"/>
      <c r="D294" s="21"/>
    </row>
    <row r="295" spans="2:4" x14ac:dyDescent="0.2">
      <c r="B295" s="19"/>
      <c r="C295" s="19"/>
      <c r="D295" s="21"/>
    </row>
    <row r="296" spans="2:4" x14ac:dyDescent="0.2">
      <c r="B296" s="19"/>
      <c r="C296" s="19"/>
      <c r="D296" s="21"/>
    </row>
    <row r="297" spans="2:4" x14ac:dyDescent="0.2">
      <c r="B297" s="20"/>
      <c r="C297" s="20"/>
      <c r="D297" s="22"/>
    </row>
  </sheetData>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B4B3-980B-4815-A273-7A4E4A3731BA}">
  <dimension ref="A1:R1048576"/>
  <sheetViews>
    <sheetView zoomScaleNormal="100" workbookViewId="0">
      <pane xSplit="4" ySplit="1" topLeftCell="E2" activePane="bottomRight" state="frozen"/>
      <selection pane="topRight" activeCell="E1" sqref="E1"/>
      <selection pane="bottomLeft" activeCell="A2" sqref="A2"/>
      <selection pane="bottomRight" activeCell="A2" sqref="A2:XFD3"/>
    </sheetView>
  </sheetViews>
  <sheetFormatPr baseColWidth="10" defaultColWidth="65.85546875" defaultRowHeight="12.75" x14ac:dyDescent="0.2"/>
  <cols>
    <col min="1" max="1" width="8.140625" style="14" customWidth="1"/>
    <col min="2" max="2" width="7.7109375" style="14" customWidth="1"/>
    <col min="3" max="3" width="11.28515625" style="14" bestFit="1" customWidth="1"/>
    <col min="4" max="4" width="56.28515625" style="14" customWidth="1"/>
    <col min="5" max="5" width="32.5703125" style="14" customWidth="1"/>
    <col min="6" max="6" width="6.42578125" style="14" customWidth="1"/>
    <col min="7" max="7" width="54.42578125" style="14" customWidth="1"/>
    <col min="8" max="8" width="53.42578125" style="14" customWidth="1"/>
    <col min="9" max="9" width="37.7109375" style="14" customWidth="1"/>
    <col min="10" max="10" width="14" style="14" customWidth="1"/>
    <col min="11" max="11" width="10.7109375" style="14" customWidth="1"/>
    <col min="12" max="12" width="17" style="14" customWidth="1"/>
    <col min="13" max="13" width="10" style="14" customWidth="1"/>
    <col min="14" max="14" width="32.5703125" style="14" customWidth="1"/>
    <col min="15" max="15" width="18.28515625" style="14" bestFit="1" customWidth="1"/>
    <col min="16" max="16" width="63.85546875" style="14" customWidth="1"/>
    <col min="17" max="17" width="28.28515625" style="14" bestFit="1" customWidth="1"/>
    <col min="18" max="18" width="16.7109375" style="14" bestFit="1" customWidth="1"/>
    <col min="19" max="19" width="15.28515625" style="14" bestFit="1" customWidth="1"/>
    <col min="20" max="16384" width="65.85546875" style="14"/>
  </cols>
  <sheetData>
    <row r="1" spans="1:18" ht="26.25" thickBot="1" x14ac:dyDescent="0.25">
      <c r="A1" s="25" t="s">
        <v>3676</v>
      </c>
      <c r="B1" s="25" t="s">
        <v>3677</v>
      </c>
      <c r="C1" s="25" t="s">
        <v>3678</v>
      </c>
      <c r="D1" s="25" t="s">
        <v>3677</v>
      </c>
      <c r="E1" s="26" t="s">
        <v>3680</v>
      </c>
      <c r="F1" s="27" t="s">
        <v>3681</v>
      </c>
      <c r="G1" s="26" t="s">
        <v>3682</v>
      </c>
      <c r="H1" s="26" t="s">
        <v>3683</v>
      </c>
      <c r="I1" s="26" t="s">
        <v>3684</v>
      </c>
      <c r="J1" s="27" t="s">
        <v>3685</v>
      </c>
      <c r="K1" s="26" t="s">
        <v>3069</v>
      </c>
      <c r="L1" s="27" t="s">
        <v>3686</v>
      </c>
      <c r="M1" s="26" t="s">
        <v>3687</v>
      </c>
      <c r="N1" s="26" t="s">
        <v>3688</v>
      </c>
      <c r="O1" s="27" t="s">
        <v>3689</v>
      </c>
      <c r="P1" s="27" t="s">
        <v>3921</v>
      </c>
      <c r="Q1" s="26" t="s">
        <v>3691</v>
      </c>
      <c r="R1" s="14" t="s">
        <v>3922</v>
      </c>
    </row>
    <row r="2" spans="1:18" ht="13.5" thickTop="1" x14ac:dyDescent="0.2">
      <c r="A2" s="28" t="s">
        <v>3923</v>
      </c>
      <c r="B2" s="29" t="str">
        <f>'[1]Calculos Indicadores'!C73</f>
        <v>6.1.1</v>
      </c>
      <c r="C2" s="29" t="b">
        <f>D2=E2</f>
        <v>1</v>
      </c>
      <c r="D2" s="30" t="str">
        <f>Calculos!B85</f>
        <v>Promedio de km2 por juez(a) en Costa Rica</v>
      </c>
      <c r="E2" s="31" t="s">
        <v>3070</v>
      </c>
      <c r="F2" s="31" t="s">
        <v>3924</v>
      </c>
      <c r="G2" s="31" t="s">
        <v>3925</v>
      </c>
      <c r="H2" s="32" t="s">
        <v>3926</v>
      </c>
      <c r="I2" s="31" t="s">
        <v>3927</v>
      </c>
      <c r="J2" s="28" t="s">
        <v>3928</v>
      </c>
      <c r="K2" s="28" t="s">
        <v>3696</v>
      </c>
      <c r="L2" s="28" t="s">
        <v>3697</v>
      </c>
      <c r="M2" s="28" t="s">
        <v>3698</v>
      </c>
      <c r="N2" s="33" t="s">
        <v>3699</v>
      </c>
      <c r="O2" s="28" t="s">
        <v>3700</v>
      </c>
      <c r="P2" s="28" t="s">
        <v>3929</v>
      </c>
      <c r="Q2" s="29" t="s">
        <v>3930</v>
      </c>
      <c r="R2" s="14" t="s">
        <v>3922</v>
      </c>
    </row>
    <row r="3" spans="1:18" x14ac:dyDescent="0.2">
      <c r="A3" s="28" t="s">
        <v>3931</v>
      </c>
      <c r="B3" s="29" t="str">
        <f>'[1]Calculos Indicadores'!C74</f>
        <v>6.1.2</v>
      </c>
      <c r="C3" s="29" t="b">
        <f t="shared" ref="C3:C11" si="0">D3=E3</f>
        <v>1</v>
      </c>
      <c r="D3" s="30" t="str">
        <f>Calculos!B86</f>
        <v>Promedio de km2 por fiscal(a) en Costa Rica</v>
      </c>
      <c r="E3" s="34" t="s">
        <v>3071</v>
      </c>
      <c r="F3" s="34" t="s">
        <v>3924</v>
      </c>
      <c r="G3" s="34" t="s">
        <v>3932</v>
      </c>
      <c r="H3" s="32" t="s">
        <v>3933</v>
      </c>
      <c r="I3" s="34" t="s">
        <v>3934</v>
      </c>
      <c r="J3" s="28" t="s">
        <v>3928</v>
      </c>
      <c r="K3" s="28" t="s">
        <v>3696</v>
      </c>
      <c r="L3" s="28" t="s">
        <v>3697</v>
      </c>
      <c r="M3" s="28" t="s">
        <v>3698</v>
      </c>
      <c r="N3" s="33" t="s">
        <v>3699</v>
      </c>
      <c r="O3" s="28" t="s">
        <v>3700</v>
      </c>
      <c r="P3" s="28" t="s">
        <v>3929</v>
      </c>
      <c r="Q3" s="29" t="s">
        <v>3930</v>
      </c>
      <c r="R3" s="14" t="s">
        <v>3922</v>
      </c>
    </row>
    <row r="4" spans="1:18" x14ac:dyDescent="0.2">
      <c r="A4" s="28" t="s">
        <v>3935</v>
      </c>
      <c r="B4" s="29" t="str">
        <f>'[1]Calculos Indicadores'!C75</f>
        <v>6.1.3</v>
      </c>
      <c r="C4" s="29" t="b">
        <f t="shared" si="0"/>
        <v>1</v>
      </c>
      <c r="D4" s="30" t="str">
        <f>Calculos!B87</f>
        <v>Promedio de km2 por defensor(a) en Costa Rica</v>
      </c>
      <c r="E4" s="31" t="s">
        <v>3072</v>
      </c>
      <c r="F4" s="31" t="s">
        <v>3924</v>
      </c>
      <c r="G4" s="31" t="s">
        <v>3936</v>
      </c>
      <c r="H4" s="32" t="s">
        <v>3937</v>
      </c>
      <c r="I4" s="31" t="s">
        <v>3938</v>
      </c>
      <c r="J4" s="28" t="s">
        <v>3928</v>
      </c>
      <c r="K4" s="28" t="s">
        <v>3696</v>
      </c>
      <c r="L4" s="28" t="s">
        <v>3697</v>
      </c>
      <c r="M4" s="28" t="s">
        <v>3698</v>
      </c>
      <c r="N4" s="33" t="s">
        <v>3699</v>
      </c>
      <c r="O4" s="28" t="s">
        <v>3700</v>
      </c>
      <c r="P4" s="28" t="s">
        <v>3929</v>
      </c>
      <c r="Q4" s="29" t="s">
        <v>3939</v>
      </c>
      <c r="R4" s="14" t="s">
        <v>3922</v>
      </c>
    </row>
    <row r="5" spans="1:18" x14ac:dyDescent="0.2">
      <c r="A5" s="28" t="s">
        <v>3940</v>
      </c>
      <c r="B5" s="29" t="str">
        <f>'[1]Calculos Indicadores'!C76</f>
        <v>6.1.4</v>
      </c>
      <c r="C5" s="29" t="b">
        <f t="shared" si="0"/>
        <v>1</v>
      </c>
      <c r="D5" s="30" t="str">
        <f>Calculos!B88</f>
        <v>Promedio de km2 por investigador(a) en Costa Rica</v>
      </c>
      <c r="E5" s="34" t="s">
        <v>3073</v>
      </c>
      <c r="F5" s="34" t="s">
        <v>3924</v>
      </c>
      <c r="G5" s="34" t="s">
        <v>3941</v>
      </c>
      <c r="H5" s="32" t="s">
        <v>3942</v>
      </c>
      <c r="I5" s="34" t="s">
        <v>3943</v>
      </c>
      <c r="J5" s="28" t="s">
        <v>3928</v>
      </c>
      <c r="K5" s="28" t="s">
        <v>3696</v>
      </c>
      <c r="L5" s="28" t="s">
        <v>3697</v>
      </c>
      <c r="M5" s="28" t="s">
        <v>3698</v>
      </c>
      <c r="N5" s="33" t="s">
        <v>3699</v>
      </c>
      <c r="O5" s="28" t="s">
        <v>3700</v>
      </c>
      <c r="P5" s="28" t="s">
        <v>3929</v>
      </c>
      <c r="Q5" s="29" t="s">
        <v>3930</v>
      </c>
      <c r="R5" s="14" t="s">
        <v>3922</v>
      </c>
    </row>
    <row r="6" spans="1:18" x14ac:dyDescent="0.2">
      <c r="A6" s="28" t="s">
        <v>3944</v>
      </c>
      <c r="B6" s="29" t="str">
        <f>'[1]Calculos Indicadores'!C77</f>
        <v>6.1.5</v>
      </c>
      <c r="C6" s="29" t="b">
        <f t="shared" si="0"/>
        <v>1</v>
      </c>
      <c r="D6" s="30" t="str">
        <f>Calculos!B89</f>
        <v>Promedio de km2 por especialista en Atención y Protección a Víctimas y Testigos en Costa Rica</v>
      </c>
      <c r="E6" s="31" t="s">
        <v>3074</v>
      </c>
      <c r="F6" s="31" t="s">
        <v>3924</v>
      </c>
      <c r="G6" s="31" t="s">
        <v>3945</v>
      </c>
      <c r="H6" s="32" t="s">
        <v>3946</v>
      </c>
      <c r="I6" s="31" t="s">
        <v>3947</v>
      </c>
      <c r="J6" s="28" t="s">
        <v>3928</v>
      </c>
      <c r="K6" s="28" t="s">
        <v>3696</v>
      </c>
      <c r="L6" s="28" t="s">
        <v>3697</v>
      </c>
      <c r="M6" s="28" t="s">
        <v>3698</v>
      </c>
      <c r="N6" s="33" t="s">
        <v>3699</v>
      </c>
      <c r="O6" s="28" t="s">
        <v>3948</v>
      </c>
      <c r="P6" s="28" t="s">
        <v>3929</v>
      </c>
      <c r="Q6" s="29" t="s">
        <v>3930</v>
      </c>
    </row>
    <row r="7" spans="1:18" x14ac:dyDescent="0.2">
      <c r="A7" s="28" t="s">
        <v>3949</v>
      </c>
      <c r="B7" s="29" t="str">
        <f>'[1]Calculos Indicadores'!C78</f>
        <v>6.2.1</v>
      </c>
      <c r="C7" s="29" t="b">
        <f t="shared" si="0"/>
        <v>1</v>
      </c>
      <c r="D7" s="30" t="str">
        <f>Calculos!B90</f>
        <v>Promedio de km2 por cada Tribunal de I Instancia en Costa Rica</v>
      </c>
      <c r="E7" s="34" t="s">
        <v>3075</v>
      </c>
      <c r="F7" s="34" t="s">
        <v>3924</v>
      </c>
      <c r="G7" s="34" t="s">
        <v>3950</v>
      </c>
      <c r="H7" s="32" t="s">
        <v>3951</v>
      </c>
      <c r="I7" s="34" t="s">
        <v>3952</v>
      </c>
      <c r="J7" s="28" t="s">
        <v>3928</v>
      </c>
      <c r="K7" s="28" t="s">
        <v>3696</v>
      </c>
      <c r="L7" s="28" t="s">
        <v>3697</v>
      </c>
      <c r="M7" s="28" t="s">
        <v>3698</v>
      </c>
      <c r="N7" s="33" t="s">
        <v>3699</v>
      </c>
      <c r="O7" s="28" t="s">
        <v>3700</v>
      </c>
      <c r="P7" s="28" t="s">
        <v>3953</v>
      </c>
      <c r="Q7" s="29"/>
    </row>
    <row r="8" spans="1:18" x14ac:dyDescent="0.2">
      <c r="A8" s="28" t="s">
        <v>3954</v>
      </c>
      <c r="B8" s="29" t="str">
        <f>'[1]Calculos Indicadores'!C79</f>
        <v>6.2.2</v>
      </c>
      <c r="C8" s="29" t="b">
        <f t="shared" si="0"/>
        <v>1</v>
      </c>
      <c r="D8" s="30" t="str">
        <f>Calculos!B91</f>
        <v>Promedio de km2 por cada Fiscalía en Costa Rica</v>
      </c>
      <c r="E8" s="31" t="s">
        <v>3076</v>
      </c>
      <c r="F8" s="31" t="s">
        <v>3924</v>
      </c>
      <c r="G8" s="31" t="s">
        <v>3955</v>
      </c>
      <c r="H8" s="32" t="s">
        <v>3956</v>
      </c>
      <c r="I8" s="31" t="s">
        <v>3957</v>
      </c>
      <c r="J8" s="28" t="s">
        <v>3928</v>
      </c>
      <c r="K8" s="28" t="s">
        <v>3696</v>
      </c>
      <c r="L8" s="28" t="s">
        <v>3697</v>
      </c>
      <c r="M8" s="28" t="s">
        <v>3698</v>
      </c>
      <c r="N8" s="33" t="s">
        <v>3699</v>
      </c>
      <c r="O8" s="28" t="s">
        <v>3700</v>
      </c>
      <c r="P8" s="28" t="s">
        <v>3953</v>
      </c>
      <c r="Q8" s="29"/>
    </row>
    <row r="9" spans="1:18" x14ac:dyDescent="0.2">
      <c r="A9" s="28" t="s">
        <v>3958</v>
      </c>
      <c r="B9" s="29" t="str">
        <f>'[1]Calculos Indicadores'!C80</f>
        <v>6.2.3</v>
      </c>
      <c r="C9" s="29" t="b">
        <f t="shared" si="0"/>
        <v>1</v>
      </c>
      <c r="D9" s="30" t="str">
        <f>Calculos!B92</f>
        <v>Promedio de km2 por cada Defensa Pública en Costa Rica</v>
      </c>
      <c r="E9" s="34" t="s">
        <v>3077</v>
      </c>
      <c r="F9" s="34" t="s">
        <v>3924</v>
      </c>
      <c r="G9" s="34" t="s">
        <v>3959</v>
      </c>
      <c r="H9" s="32" t="s">
        <v>3960</v>
      </c>
      <c r="I9" s="34" t="s">
        <v>3961</v>
      </c>
      <c r="J9" s="28" t="s">
        <v>3928</v>
      </c>
      <c r="K9" s="28" t="s">
        <v>3696</v>
      </c>
      <c r="L9" s="28" t="s">
        <v>3697</v>
      </c>
      <c r="M9" s="28" t="s">
        <v>3698</v>
      </c>
      <c r="N9" s="33" t="s">
        <v>3699</v>
      </c>
      <c r="O9" s="28" t="s">
        <v>3700</v>
      </c>
      <c r="P9" s="28" t="s">
        <v>3953</v>
      </c>
      <c r="Q9" s="29"/>
    </row>
    <row r="10" spans="1:18" x14ac:dyDescent="0.2">
      <c r="A10" s="28" t="s">
        <v>3962</v>
      </c>
      <c r="B10" s="29" t="str">
        <f>'[1]Calculos Indicadores'!C81</f>
        <v>6.2.4</v>
      </c>
      <c r="C10" s="29" t="b">
        <f t="shared" si="0"/>
        <v>1</v>
      </c>
      <c r="D10" s="30" t="str">
        <f>Calculos!B93</f>
        <v>Promedio de km2 por cada Delegación en Costa Rica</v>
      </c>
      <c r="E10" s="31" t="s">
        <v>3078</v>
      </c>
      <c r="F10" s="31" t="s">
        <v>3924</v>
      </c>
      <c r="G10" s="31" t="s">
        <v>3963</v>
      </c>
      <c r="H10" s="32" t="s">
        <v>3964</v>
      </c>
      <c r="I10" s="31" t="s">
        <v>3965</v>
      </c>
      <c r="J10" s="28" t="s">
        <v>3928</v>
      </c>
      <c r="K10" s="28" t="s">
        <v>3696</v>
      </c>
      <c r="L10" s="28" t="s">
        <v>3697</v>
      </c>
      <c r="M10" s="28" t="s">
        <v>3698</v>
      </c>
      <c r="N10" s="33" t="s">
        <v>3699</v>
      </c>
      <c r="O10" s="28" t="s">
        <v>3700</v>
      </c>
      <c r="P10" s="28" t="s">
        <v>3953</v>
      </c>
      <c r="Q10" s="29"/>
    </row>
    <row r="11" spans="1:18" x14ac:dyDescent="0.2">
      <c r="A11" s="28" t="s">
        <v>3966</v>
      </c>
      <c r="B11" s="29" t="str">
        <f>'[1]Calculos Indicadores'!C82</f>
        <v>6.2.5</v>
      </c>
      <c r="C11" s="29" t="b">
        <f t="shared" si="0"/>
        <v>1</v>
      </c>
      <c r="D11" s="30" t="str">
        <f>Calculos!B94</f>
        <v>Promedio de km2 por cada Of de Atención y Protección a Víctimas y Testigos en Costa Rica</v>
      </c>
      <c r="E11" s="34" t="s">
        <v>3079</v>
      </c>
      <c r="F11" s="34" t="s">
        <v>3924</v>
      </c>
      <c r="G11" s="34" t="s">
        <v>3967</v>
      </c>
      <c r="H11" s="32" t="s">
        <v>3968</v>
      </c>
      <c r="I11" s="34" t="s">
        <v>3969</v>
      </c>
      <c r="J11" s="28" t="s">
        <v>3928</v>
      </c>
      <c r="K11" s="28" t="s">
        <v>3696</v>
      </c>
      <c r="L11" s="28" t="s">
        <v>3697</v>
      </c>
      <c r="M11" s="28" t="s">
        <v>3698</v>
      </c>
      <c r="N11" s="33" t="s">
        <v>3699</v>
      </c>
      <c r="O11" s="28" t="s">
        <v>3948</v>
      </c>
      <c r="P11" s="28" t="s">
        <v>3953</v>
      </c>
      <c r="Q11" s="29"/>
    </row>
    <row r="12" spans="1:18" x14ac:dyDescent="0.2">
      <c r="A12" s="28"/>
      <c r="B12" s="29"/>
      <c r="C12" s="29" t="b">
        <f t="shared" ref="C12" si="1">D12=E12</f>
        <v>1</v>
      </c>
      <c r="D12" s="30" t="str">
        <f>Calculos!B95</f>
        <v>Habitantes por juez/a</v>
      </c>
      <c r="E12" s="31" t="s">
        <v>3080</v>
      </c>
      <c r="F12" s="31" t="s">
        <v>3924</v>
      </c>
      <c r="G12" s="31" t="s">
        <v>3970</v>
      </c>
      <c r="H12" s="32" t="s">
        <v>3971</v>
      </c>
      <c r="I12" s="31" t="s">
        <v>3972</v>
      </c>
      <c r="J12" s="28" t="s">
        <v>3973</v>
      </c>
      <c r="K12" s="28" t="s">
        <v>3696</v>
      </c>
      <c r="L12" s="28" t="s">
        <v>3697</v>
      </c>
      <c r="M12" s="28" t="s">
        <v>3698</v>
      </c>
      <c r="N12" s="33" t="s">
        <v>3974</v>
      </c>
      <c r="O12" s="28" t="s">
        <v>3700</v>
      </c>
      <c r="P12" s="28" t="s">
        <v>3929</v>
      </c>
      <c r="Q12" s="29"/>
    </row>
    <row r="13" spans="1:18" x14ac:dyDescent="0.2">
      <c r="A13" s="28"/>
      <c r="B13" s="29"/>
      <c r="C13" s="29" t="b">
        <f t="shared" ref="C13" si="2">D13=E13</f>
        <v>1</v>
      </c>
      <c r="D13" s="30" t="str">
        <f>Calculos!B96</f>
        <v>Entrada neta por juez/a de Primera Instancia</v>
      </c>
      <c r="E13" s="34" t="s">
        <v>3081</v>
      </c>
      <c r="F13" s="34" t="s">
        <v>3924</v>
      </c>
      <c r="G13" s="34" t="s">
        <v>3975</v>
      </c>
      <c r="H13" s="32" t="s">
        <v>3976</v>
      </c>
      <c r="I13" s="34" t="s">
        <v>3977</v>
      </c>
      <c r="J13" s="28" t="s">
        <v>3973</v>
      </c>
      <c r="K13" s="28" t="s">
        <v>3696</v>
      </c>
      <c r="L13" s="28" t="s">
        <v>3697</v>
      </c>
      <c r="M13" s="28" t="s">
        <v>3698</v>
      </c>
      <c r="N13" s="33" t="s">
        <v>3978</v>
      </c>
      <c r="O13" s="28" t="s">
        <v>3700</v>
      </c>
      <c r="P13" s="28" t="s">
        <v>3929</v>
      </c>
      <c r="Q13" s="29"/>
    </row>
    <row r="1048576" spans="10:10" x14ac:dyDescent="0.2">
      <c r="J1048576" s="23"/>
    </row>
  </sheetData>
  <autoFilter ref="A1:S13" xr:uid="{389E8EA0-E9ED-449A-B52E-4BBE7BDE6D97}"/>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58AD-3FA3-4494-9198-1FA1CE8EF4CE}">
  <dimension ref="A1:R131"/>
  <sheetViews>
    <sheetView topLeftCell="O1" zoomScaleNormal="100" workbookViewId="0">
      <selection activeCell="O5" sqref="A5:XFD6"/>
    </sheetView>
  </sheetViews>
  <sheetFormatPr baseColWidth="10" defaultColWidth="65.85546875" defaultRowHeight="12.75" x14ac:dyDescent="0.2"/>
  <cols>
    <col min="1" max="1" width="7.140625" style="14" customWidth="1"/>
    <col min="2" max="2" width="10.7109375" style="14" bestFit="1" customWidth="1"/>
    <col min="3" max="3" width="11.28515625" style="14" bestFit="1" customWidth="1"/>
    <col min="4" max="4" width="16.140625" style="14" customWidth="1"/>
    <col min="5" max="5" width="39.140625" style="14" customWidth="1"/>
    <col min="6" max="6" width="6.28515625" style="14" customWidth="1"/>
    <col min="7" max="7" width="65.85546875" style="14"/>
    <col min="8" max="9" width="29.42578125" style="14" customWidth="1"/>
    <col min="10" max="10" width="8.28515625" style="14" customWidth="1"/>
    <col min="11" max="11" width="10.7109375" style="14" customWidth="1"/>
    <col min="12" max="12" width="17" style="14" customWidth="1"/>
    <col min="13" max="13" width="10" style="14" customWidth="1"/>
    <col min="14" max="14" width="65.85546875" style="14"/>
    <col min="15" max="15" width="18.28515625" style="14" bestFit="1" customWidth="1"/>
    <col min="16" max="16" width="28.28515625" style="14" bestFit="1" customWidth="1"/>
    <col min="17" max="17" width="46" style="14" customWidth="1"/>
    <col min="18" max="18" width="15.28515625" style="14" bestFit="1" customWidth="1"/>
    <col min="19" max="16384" width="65.85546875" style="14"/>
  </cols>
  <sheetData>
    <row r="1" spans="1:18" ht="39" thickBot="1" x14ac:dyDescent="0.25">
      <c r="A1" s="25" t="s">
        <v>3676</v>
      </c>
      <c r="B1" s="25" t="s">
        <v>3677</v>
      </c>
      <c r="C1" s="25" t="s">
        <v>3678</v>
      </c>
      <c r="D1" s="25" t="s">
        <v>3677</v>
      </c>
      <c r="E1" s="26" t="s">
        <v>3680</v>
      </c>
      <c r="F1" s="27" t="s">
        <v>3681</v>
      </c>
      <c r="G1" s="26" t="s">
        <v>3682</v>
      </c>
      <c r="H1" s="26" t="s">
        <v>3683</v>
      </c>
      <c r="I1" s="26" t="s">
        <v>3684</v>
      </c>
      <c r="J1" s="27" t="s">
        <v>3685</v>
      </c>
      <c r="K1" s="26" t="s">
        <v>3069</v>
      </c>
      <c r="L1" s="27" t="s">
        <v>3686</v>
      </c>
      <c r="M1" s="26" t="s">
        <v>3687</v>
      </c>
      <c r="N1" s="26" t="s">
        <v>3688</v>
      </c>
      <c r="O1" s="27" t="s">
        <v>3689</v>
      </c>
      <c r="P1" s="27" t="s">
        <v>3921</v>
      </c>
      <c r="Q1" s="26" t="s">
        <v>3691</v>
      </c>
      <c r="R1" s="14" t="s">
        <v>3922</v>
      </c>
    </row>
    <row r="2" spans="1:18" ht="13.5" thickTop="1" x14ac:dyDescent="0.2">
      <c r="A2" s="28"/>
      <c r="B2" s="29" t="str">
        <f>'[1]Calculos Indicadores'!C83</f>
        <v>F.4</v>
      </c>
      <c r="C2" s="29" t="b">
        <f>D2=E2</f>
        <v>1</v>
      </c>
      <c r="D2" s="30" t="str">
        <f>Calculos!B97</f>
        <v>Total de personal Jurisdiccional</v>
      </c>
      <c r="E2" s="31" t="s">
        <v>82</v>
      </c>
      <c r="F2" s="31" t="s">
        <v>3924</v>
      </c>
      <c r="G2" s="31" t="s">
        <v>82</v>
      </c>
      <c r="H2" s="32" t="s">
        <v>3979</v>
      </c>
      <c r="I2" s="31" t="s">
        <v>82</v>
      </c>
      <c r="J2" s="28" t="s">
        <v>3980</v>
      </c>
      <c r="K2" s="28" t="s">
        <v>3696</v>
      </c>
      <c r="L2" s="28" t="s">
        <v>3981</v>
      </c>
      <c r="M2" s="28" t="s">
        <v>3698</v>
      </c>
      <c r="N2" s="33" t="s">
        <v>3699</v>
      </c>
      <c r="O2" s="28" t="s">
        <v>3700</v>
      </c>
      <c r="P2" s="28" t="s">
        <v>3929</v>
      </c>
      <c r="Q2" s="29"/>
      <c r="R2" s="14" t="s">
        <v>3922</v>
      </c>
    </row>
    <row r="3" spans="1:18" x14ac:dyDescent="0.2">
      <c r="A3" s="28"/>
      <c r="B3" s="29" t="str">
        <f>'[1]Calculos Indicadores'!C84</f>
        <v>F.5</v>
      </c>
      <c r="C3" s="29" t="b">
        <f t="shared" ref="C3:C12" si="0">D3=E3</f>
        <v>1</v>
      </c>
      <c r="D3" s="30" t="str">
        <f>Calculos!B98</f>
        <v>Total de personal de Fiscalía</v>
      </c>
      <c r="E3" s="34" t="s">
        <v>87</v>
      </c>
      <c r="F3" s="34" t="s">
        <v>3924</v>
      </c>
      <c r="G3" s="34" t="s">
        <v>87</v>
      </c>
      <c r="H3" s="32" t="s">
        <v>3979</v>
      </c>
      <c r="I3" s="34" t="s">
        <v>87</v>
      </c>
      <c r="J3" s="28" t="s">
        <v>3980</v>
      </c>
      <c r="K3" s="28" t="s">
        <v>3696</v>
      </c>
      <c r="L3" s="28" t="s">
        <v>3981</v>
      </c>
      <c r="M3" s="28" t="s">
        <v>3698</v>
      </c>
      <c r="N3" s="33" t="s">
        <v>3699</v>
      </c>
      <c r="O3" s="28" t="s">
        <v>3700</v>
      </c>
      <c r="P3" s="28" t="s">
        <v>3929</v>
      </c>
      <c r="Q3" s="29"/>
      <c r="R3" s="14" t="s">
        <v>3922</v>
      </c>
    </row>
    <row r="4" spans="1:18" x14ac:dyDescent="0.2">
      <c r="A4" s="28"/>
      <c r="B4" s="29" t="str">
        <f>'[1]Calculos Indicadores'!C85</f>
        <v>F.6</v>
      </c>
      <c r="C4" s="29" t="b">
        <f t="shared" si="0"/>
        <v>1</v>
      </c>
      <c r="D4" s="30" t="str">
        <f>Calculos!B99</f>
        <v>Total de personal del Servicio Defensa Pública</v>
      </c>
      <c r="E4" s="31" t="s">
        <v>3083</v>
      </c>
      <c r="F4" s="31" t="s">
        <v>3924</v>
      </c>
      <c r="G4" s="31" t="s">
        <v>3083</v>
      </c>
      <c r="H4" s="32" t="s">
        <v>3979</v>
      </c>
      <c r="I4" s="31" t="s">
        <v>90</v>
      </c>
      <c r="J4" s="28" t="s">
        <v>3980</v>
      </c>
      <c r="K4" s="28" t="s">
        <v>3696</v>
      </c>
      <c r="L4" s="28" t="s">
        <v>3981</v>
      </c>
      <c r="M4" s="28" t="s">
        <v>3698</v>
      </c>
      <c r="N4" s="33" t="s">
        <v>3699</v>
      </c>
      <c r="O4" s="28" t="s">
        <v>3700</v>
      </c>
      <c r="P4" s="28" t="s">
        <v>3929</v>
      </c>
      <c r="Q4" s="29"/>
      <c r="R4" s="14" t="s">
        <v>3922</v>
      </c>
    </row>
    <row r="5" spans="1:18" x14ac:dyDescent="0.2">
      <c r="A5" s="28"/>
      <c r="B5" s="29" t="str">
        <f>'[1]Calculos Indicadores'!C86</f>
        <v>F.7</v>
      </c>
      <c r="C5" s="29" t="b">
        <f t="shared" si="0"/>
        <v>1</v>
      </c>
      <c r="D5" s="30" t="str">
        <f>Calculos!B100</f>
        <v>Total de personal Servicio de Investigación Judicial</v>
      </c>
      <c r="E5" s="34" t="s">
        <v>3084</v>
      </c>
      <c r="F5" s="34" t="s">
        <v>3924</v>
      </c>
      <c r="G5" s="34" t="s">
        <v>3084</v>
      </c>
      <c r="H5" s="32" t="s">
        <v>3979</v>
      </c>
      <c r="I5" s="34" t="s">
        <v>95</v>
      </c>
      <c r="J5" s="28" t="s">
        <v>3980</v>
      </c>
      <c r="K5" s="28" t="s">
        <v>3696</v>
      </c>
      <c r="L5" s="28" t="s">
        <v>3981</v>
      </c>
      <c r="M5" s="28" t="s">
        <v>3698</v>
      </c>
      <c r="N5" s="33" t="s">
        <v>3699</v>
      </c>
      <c r="O5" s="28" t="s">
        <v>3700</v>
      </c>
      <c r="P5" s="28" t="s">
        <v>3929</v>
      </c>
      <c r="Q5" s="29"/>
      <c r="R5" s="14" t="s">
        <v>3922</v>
      </c>
    </row>
    <row r="6" spans="1:18" x14ac:dyDescent="0.2">
      <c r="A6" s="28" t="s">
        <v>3982</v>
      </c>
      <c r="B6" s="29" t="str">
        <f>'[1]Calculos Indicadores'!C87</f>
        <v>7.1.1</v>
      </c>
      <c r="C6" s="29" t="b">
        <f t="shared" si="0"/>
        <v>1</v>
      </c>
      <c r="D6" s="30" t="str">
        <f>Calculos!B101</f>
        <v>Cantidad de jueces(as) por 100 mil habitantes</v>
      </c>
      <c r="E6" s="31" t="s">
        <v>3085</v>
      </c>
      <c r="F6" s="31" t="s">
        <v>3924</v>
      </c>
      <c r="G6" s="31" t="s">
        <v>3983</v>
      </c>
      <c r="H6" s="32" t="s">
        <v>3984</v>
      </c>
      <c r="I6" s="31" t="s">
        <v>3985</v>
      </c>
      <c r="J6" s="28" t="s">
        <v>3980</v>
      </c>
      <c r="K6" s="28" t="s">
        <v>3696</v>
      </c>
      <c r="L6" s="28" t="s">
        <v>3981</v>
      </c>
      <c r="M6" s="28" t="s">
        <v>3698</v>
      </c>
      <c r="N6" s="33" t="s">
        <v>3986</v>
      </c>
      <c r="O6" s="28" t="s">
        <v>3700</v>
      </c>
      <c r="P6" s="28" t="s">
        <v>3929</v>
      </c>
      <c r="Q6" s="29" t="s">
        <v>3930</v>
      </c>
      <c r="R6" s="14" t="s">
        <v>3922</v>
      </c>
    </row>
    <row r="7" spans="1:18" x14ac:dyDescent="0.2">
      <c r="A7" s="28" t="s">
        <v>3987</v>
      </c>
      <c r="B7" s="29" t="str">
        <f>'[1]Calculos Indicadores'!C88</f>
        <v>7.1.2</v>
      </c>
      <c r="C7" s="29" t="b">
        <f t="shared" si="0"/>
        <v>1</v>
      </c>
      <c r="D7" s="30" t="str">
        <f>Calculos!B102</f>
        <v>Cantidad de fiscales(as) por 100 mil habitantes</v>
      </c>
      <c r="E7" s="34" t="s">
        <v>3086</v>
      </c>
      <c r="F7" s="34" t="s">
        <v>3924</v>
      </c>
      <c r="G7" s="34" t="s">
        <v>3988</v>
      </c>
      <c r="H7" s="32" t="s">
        <v>3989</v>
      </c>
      <c r="I7" s="34" t="s">
        <v>3990</v>
      </c>
      <c r="J7" s="28" t="s">
        <v>3980</v>
      </c>
      <c r="K7" s="28" t="s">
        <v>3696</v>
      </c>
      <c r="L7" s="28" t="s">
        <v>3981</v>
      </c>
      <c r="M7" s="28" t="s">
        <v>3698</v>
      </c>
      <c r="N7" s="33" t="s">
        <v>3986</v>
      </c>
      <c r="O7" s="28" t="s">
        <v>3700</v>
      </c>
      <c r="P7" s="28" t="s">
        <v>3929</v>
      </c>
      <c r="Q7" s="29" t="s">
        <v>3991</v>
      </c>
      <c r="R7" s="14" t="s">
        <v>3922</v>
      </c>
    </row>
    <row r="8" spans="1:18" x14ac:dyDescent="0.2">
      <c r="A8" s="28" t="s">
        <v>3992</v>
      </c>
      <c r="B8" s="29" t="str">
        <f>'[1]Calculos Indicadores'!C89</f>
        <v>7.1.3</v>
      </c>
      <c r="C8" s="29" t="b">
        <f t="shared" si="0"/>
        <v>1</v>
      </c>
      <c r="D8" s="30" t="str">
        <f>Calculos!B103</f>
        <v>Cantidad de defensores(as) públicos por 100 mil habitantes</v>
      </c>
      <c r="E8" s="31" t="s">
        <v>3087</v>
      </c>
      <c r="F8" s="31" t="s">
        <v>3924</v>
      </c>
      <c r="G8" s="31" t="s">
        <v>3993</v>
      </c>
      <c r="H8" s="32" t="s">
        <v>3994</v>
      </c>
      <c r="I8" s="31" t="s">
        <v>3995</v>
      </c>
      <c r="J8" s="28" t="s">
        <v>3980</v>
      </c>
      <c r="K8" s="28" t="s">
        <v>3696</v>
      </c>
      <c r="L8" s="28" t="s">
        <v>3981</v>
      </c>
      <c r="M8" s="28" t="s">
        <v>3698</v>
      </c>
      <c r="N8" s="33" t="s">
        <v>3986</v>
      </c>
      <c r="O8" s="28" t="s">
        <v>3700</v>
      </c>
      <c r="P8" s="28" t="s">
        <v>3929</v>
      </c>
      <c r="Q8" s="29" t="s">
        <v>3930</v>
      </c>
      <c r="R8" s="14" t="s">
        <v>3922</v>
      </c>
    </row>
    <row r="9" spans="1:18" x14ac:dyDescent="0.2">
      <c r="A9" s="28" t="s">
        <v>3996</v>
      </c>
      <c r="B9" s="29" t="str">
        <f>'[1]Calculos Indicadores'!C90</f>
        <v>7.1.4</v>
      </c>
      <c r="C9" s="29" t="b">
        <f t="shared" si="0"/>
        <v>1</v>
      </c>
      <c r="D9" s="30" t="str">
        <f>Calculos!B104</f>
        <v>Cantidad de investigadores(as) del OIJ por 100 mil habitantes</v>
      </c>
      <c r="E9" s="34" t="s">
        <v>3088</v>
      </c>
      <c r="F9" s="34" t="s">
        <v>3924</v>
      </c>
      <c r="G9" s="34" t="s">
        <v>3997</v>
      </c>
      <c r="H9" s="32" t="s">
        <v>3998</v>
      </c>
      <c r="I9" s="34" t="s">
        <v>3999</v>
      </c>
      <c r="J9" s="28" t="s">
        <v>3980</v>
      </c>
      <c r="K9" s="28" t="s">
        <v>3696</v>
      </c>
      <c r="L9" s="28" t="s">
        <v>3981</v>
      </c>
      <c r="M9" s="28" t="s">
        <v>3698</v>
      </c>
      <c r="N9" s="33" t="s">
        <v>3986</v>
      </c>
      <c r="O9" s="28" t="s">
        <v>3700</v>
      </c>
      <c r="P9" s="28" t="s">
        <v>3929</v>
      </c>
      <c r="Q9" s="29"/>
      <c r="R9" s="14" t="s">
        <v>3922</v>
      </c>
    </row>
    <row r="10" spans="1:18" x14ac:dyDescent="0.2">
      <c r="A10" s="28" t="s">
        <v>4000</v>
      </c>
      <c r="B10" s="29" t="str">
        <f>'[1]Calculos Indicadores'!C91</f>
        <v>7.1.5</v>
      </c>
      <c r="C10" s="29" t="b">
        <f t="shared" si="0"/>
        <v>1</v>
      </c>
      <c r="D10" s="30" t="str">
        <f>Calculos!B105</f>
        <v>Cantidad de Atención y Protección a Víctimas y Testigos por 100 mil habitantes</v>
      </c>
      <c r="E10" s="31" t="s">
        <v>3089</v>
      </c>
      <c r="F10" s="31" t="s">
        <v>3924</v>
      </c>
      <c r="G10" s="31" t="s">
        <v>4001</v>
      </c>
      <c r="H10" s="32" t="s">
        <v>4002</v>
      </c>
      <c r="I10" s="31" t="s">
        <v>4003</v>
      </c>
      <c r="J10" s="28" t="s">
        <v>3980</v>
      </c>
      <c r="K10" s="28" t="s">
        <v>3696</v>
      </c>
      <c r="L10" s="28" t="s">
        <v>3981</v>
      </c>
      <c r="M10" s="28" t="s">
        <v>3698</v>
      </c>
      <c r="N10" s="33" t="s">
        <v>3986</v>
      </c>
      <c r="O10" s="28" t="s">
        <v>3948</v>
      </c>
      <c r="P10" s="28" t="s">
        <v>3929</v>
      </c>
      <c r="Q10" s="29" t="s">
        <v>3930</v>
      </c>
    </row>
    <row r="11" spans="1:18" x14ac:dyDescent="0.2">
      <c r="A11" s="28" t="s">
        <v>4004</v>
      </c>
      <c r="B11" s="29" t="str">
        <f>'[1]Calculos Indicadores'!C92</f>
        <v>7.1.6</v>
      </c>
      <c r="C11" s="29" t="b">
        <f t="shared" si="0"/>
        <v>1</v>
      </c>
      <c r="D11" s="30" t="str">
        <f>Calculos!B106</f>
        <v>Cantidad de personal auxiliar del ámbito jurisdiccional por 100 mil habitantes</v>
      </c>
      <c r="E11" s="34" t="s">
        <v>3090</v>
      </c>
      <c r="F11" s="34" t="s">
        <v>3924</v>
      </c>
      <c r="G11" s="34" t="s">
        <v>4005</v>
      </c>
      <c r="H11" s="32" t="s">
        <v>4006</v>
      </c>
      <c r="I11" s="34" t="s">
        <v>4007</v>
      </c>
      <c r="J11" s="28" t="s">
        <v>3980</v>
      </c>
      <c r="K11" s="28" t="s">
        <v>3696</v>
      </c>
      <c r="L11" s="28" t="s">
        <v>3981</v>
      </c>
      <c r="M11" s="28" t="s">
        <v>3698</v>
      </c>
      <c r="N11" s="33" t="s">
        <v>3986</v>
      </c>
      <c r="O11" s="28" t="s">
        <v>3700</v>
      </c>
      <c r="P11" s="28" t="s">
        <v>3929</v>
      </c>
      <c r="Q11" s="29"/>
    </row>
    <row r="12" spans="1:18" x14ac:dyDescent="0.2">
      <c r="A12" s="28" t="s">
        <v>4008</v>
      </c>
      <c r="B12" s="29" t="str">
        <f>'[1]Calculos Indicadores'!C93</f>
        <v>7.1.7</v>
      </c>
      <c r="C12" s="29" t="b">
        <f t="shared" si="0"/>
        <v>1</v>
      </c>
      <c r="D12" s="30" t="str">
        <f>Calculos!B107</f>
        <v>Cantidad de abogados por 100 mil habitantes</v>
      </c>
      <c r="E12" s="31" t="s">
        <v>3091</v>
      </c>
      <c r="F12" s="31" t="s">
        <v>3924</v>
      </c>
      <c r="G12" s="31" t="s">
        <v>4009</v>
      </c>
      <c r="H12" s="32" t="s">
        <v>4010</v>
      </c>
      <c r="I12" s="31" t="s">
        <v>4011</v>
      </c>
      <c r="J12" s="28" t="s">
        <v>3980</v>
      </c>
      <c r="K12" s="28" t="s">
        <v>3696</v>
      </c>
      <c r="L12" s="28" t="s">
        <v>3981</v>
      </c>
      <c r="M12" s="28" t="s">
        <v>3698</v>
      </c>
      <c r="N12" s="33" t="s">
        <v>4012</v>
      </c>
      <c r="O12" s="28" t="s">
        <v>3700</v>
      </c>
      <c r="P12" s="28" t="s">
        <v>3929</v>
      </c>
      <c r="Q12" s="29"/>
    </row>
    <row r="13" spans="1:18" x14ac:dyDescent="0.2">
      <c r="B13" s="19"/>
      <c r="C13" s="19"/>
      <c r="D13" s="16"/>
    </row>
    <row r="14" spans="1:18" x14ac:dyDescent="0.2">
      <c r="B14" s="19"/>
      <c r="C14" s="19"/>
      <c r="D14" s="16"/>
    </row>
    <row r="15" spans="1:18" x14ac:dyDescent="0.2">
      <c r="B15" s="19"/>
      <c r="C15" s="19"/>
      <c r="D15" s="16"/>
    </row>
    <row r="16" spans="1:18" x14ac:dyDescent="0.2">
      <c r="B16" s="19"/>
      <c r="C16" s="19"/>
      <c r="D16" s="16"/>
    </row>
    <row r="17" spans="2:4" x14ac:dyDescent="0.2">
      <c r="B17" s="19"/>
      <c r="C17" s="19"/>
      <c r="D17" s="16"/>
    </row>
    <row r="18" spans="2:4" x14ac:dyDescent="0.2">
      <c r="B18" s="19"/>
      <c r="C18" s="19"/>
      <c r="D18" s="16"/>
    </row>
    <row r="19" spans="2:4" x14ac:dyDescent="0.2">
      <c r="B19" s="19"/>
      <c r="C19" s="19"/>
      <c r="D19" s="16"/>
    </row>
    <row r="20" spans="2:4" x14ac:dyDescent="0.2">
      <c r="B20" s="19"/>
      <c r="C20" s="19"/>
      <c r="D20" s="16"/>
    </row>
    <row r="21" spans="2:4" x14ac:dyDescent="0.2">
      <c r="B21" s="19"/>
      <c r="C21" s="19"/>
      <c r="D21" s="16"/>
    </row>
    <row r="22" spans="2:4" x14ac:dyDescent="0.2">
      <c r="B22" s="19"/>
      <c r="C22" s="19"/>
      <c r="D22" s="16"/>
    </row>
    <row r="23" spans="2:4" x14ac:dyDescent="0.2">
      <c r="B23" s="19"/>
      <c r="C23" s="19"/>
      <c r="D23" s="16"/>
    </row>
    <row r="24" spans="2:4" x14ac:dyDescent="0.2">
      <c r="B24" s="19"/>
      <c r="C24" s="19"/>
      <c r="D24" s="16"/>
    </row>
    <row r="25" spans="2:4" x14ac:dyDescent="0.2">
      <c r="B25" s="19"/>
      <c r="C25" s="19"/>
      <c r="D25" s="16"/>
    </row>
    <row r="26" spans="2:4" x14ac:dyDescent="0.2">
      <c r="B26" s="19"/>
      <c r="C26" s="19"/>
      <c r="D26" s="16"/>
    </row>
    <row r="27" spans="2:4" x14ac:dyDescent="0.2">
      <c r="B27" s="19"/>
      <c r="C27" s="19"/>
      <c r="D27" s="16"/>
    </row>
    <row r="28" spans="2:4" x14ac:dyDescent="0.2">
      <c r="B28" s="19"/>
      <c r="C28" s="19"/>
      <c r="D28" s="16"/>
    </row>
    <row r="29" spans="2:4" x14ac:dyDescent="0.2">
      <c r="B29" s="19"/>
      <c r="C29" s="19"/>
      <c r="D29" s="16"/>
    </row>
    <row r="30" spans="2:4" x14ac:dyDescent="0.2">
      <c r="B30" s="19"/>
      <c r="C30" s="19"/>
      <c r="D30" s="16"/>
    </row>
    <row r="31" spans="2:4" x14ac:dyDescent="0.2">
      <c r="B31" s="19"/>
      <c r="C31" s="19"/>
      <c r="D31" s="16"/>
    </row>
    <row r="32" spans="2:4" x14ac:dyDescent="0.2">
      <c r="B32" s="19"/>
      <c r="C32" s="19"/>
      <c r="D32" s="16"/>
    </row>
    <row r="33" spans="2:4" x14ac:dyDescent="0.2">
      <c r="B33" s="19"/>
      <c r="C33" s="19"/>
      <c r="D33" s="16"/>
    </row>
    <row r="34" spans="2:4" x14ac:dyDescent="0.2">
      <c r="B34" s="19"/>
      <c r="C34" s="19"/>
      <c r="D34" s="16"/>
    </row>
    <row r="35" spans="2:4" x14ac:dyDescent="0.2">
      <c r="B35" s="19"/>
      <c r="C35" s="19"/>
      <c r="D35" s="16"/>
    </row>
    <row r="36" spans="2:4" x14ac:dyDescent="0.2">
      <c r="B36" s="19"/>
      <c r="C36" s="19"/>
      <c r="D36" s="16"/>
    </row>
    <row r="37" spans="2:4" x14ac:dyDescent="0.2">
      <c r="B37" s="19"/>
      <c r="C37" s="19"/>
      <c r="D37" s="16"/>
    </row>
    <row r="38" spans="2:4" x14ac:dyDescent="0.2">
      <c r="B38" s="19"/>
      <c r="C38" s="19"/>
      <c r="D38" s="16"/>
    </row>
    <row r="39" spans="2:4" x14ac:dyDescent="0.2">
      <c r="B39" s="19"/>
      <c r="C39" s="19"/>
      <c r="D39" s="16"/>
    </row>
    <row r="40" spans="2:4" x14ac:dyDescent="0.2">
      <c r="B40" s="19"/>
      <c r="C40" s="19"/>
      <c r="D40" s="16"/>
    </row>
    <row r="41" spans="2:4" x14ac:dyDescent="0.2">
      <c r="B41" s="19"/>
      <c r="C41" s="19"/>
      <c r="D41" s="16"/>
    </row>
    <row r="42" spans="2:4" x14ac:dyDescent="0.2">
      <c r="B42" s="19"/>
      <c r="C42" s="19"/>
      <c r="D42" s="16"/>
    </row>
    <row r="43" spans="2:4" x14ac:dyDescent="0.2">
      <c r="B43" s="19"/>
      <c r="C43" s="19"/>
      <c r="D43" s="16"/>
    </row>
    <row r="44" spans="2:4" x14ac:dyDescent="0.2">
      <c r="B44" s="19"/>
      <c r="C44" s="19"/>
      <c r="D44" s="16"/>
    </row>
    <row r="45" spans="2:4" x14ac:dyDescent="0.2">
      <c r="B45" s="19"/>
      <c r="C45" s="19"/>
      <c r="D45" s="16"/>
    </row>
    <row r="46" spans="2:4" x14ac:dyDescent="0.2">
      <c r="B46" s="19"/>
      <c r="C46" s="19"/>
      <c r="D46" s="16"/>
    </row>
    <row r="47" spans="2:4" x14ac:dyDescent="0.2">
      <c r="B47" s="19"/>
      <c r="C47" s="19"/>
      <c r="D47" s="16"/>
    </row>
    <row r="48" spans="2:4" x14ac:dyDescent="0.2">
      <c r="B48" s="19"/>
      <c r="C48" s="19"/>
      <c r="D48" s="16"/>
    </row>
    <row r="49" spans="2:4" x14ac:dyDescent="0.2">
      <c r="B49" s="19"/>
      <c r="C49" s="19"/>
      <c r="D49" s="16"/>
    </row>
    <row r="50" spans="2:4" x14ac:dyDescent="0.2">
      <c r="B50" s="19"/>
      <c r="C50" s="19"/>
      <c r="D50" s="16"/>
    </row>
    <row r="51" spans="2:4" x14ac:dyDescent="0.2">
      <c r="B51" s="19"/>
      <c r="C51" s="19"/>
      <c r="D51" s="16"/>
    </row>
    <row r="52" spans="2:4" x14ac:dyDescent="0.2">
      <c r="B52" s="19"/>
      <c r="C52" s="19"/>
      <c r="D52" s="16"/>
    </row>
    <row r="53" spans="2:4" x14ac:dyDescent="0.2">
      <c r="B53" s="19"/>
      <c r="C53" s="19"/>
      <c r="D53" s="16"/>
    </row>
    <row r="54" spans="2:4" x14ac:dyDescent="0.2">
      <c r="B54" s="19"/>
      <c r="C54" s="19"/>
      <c r="D54" s="16"/>
    </row>
    <row r="55" spans="2:4" x14ac:dyDescent="0.2">
      <c r="B55" s="19"/>
      <c r="C55" s="19"/>
      <c r="D55" s="16"/>
    </row>
    <row r="56" spans="2:4" x14ac:dyDescent="0.2">
      <c r="B56" s="19"/>
      <c r="C56" s="19"/>
      <c r="D56" s="16"/>
    </row>
    <row r="57" spans="2:4" x14ac:dyDescent="0.2">
      <c r="B57" s="19"/>
      <c r="C57" s="19"/>
      <c r="D57" s="16"/>
    </row>
    <row r="58" spans="2:4" x14ac:dyDescent="0.2">
      <c r="B58" s="19"/>
      <c r="C58" s="19"/>
      <c r="D58" s="16"/>
    </row>
    <row r="59" spans="2:4" x14ac:dyDescent="0.2">
      <c r="B59" s="19"/>
      <c r="C59" s="19"/>
      <c r="D59" s="16"/>
    </row>
    <row r="60" spans="2:4" x14ac:dyDescent="0.2">
      <c r="B60" s="19"/>
      <c r="C60" s="19"/>
      <c r="D60" s="16"/>
    </row>
    <row r="61" spans="2:4" x14ac:dyDescent="0.2">
      <c r="B61" s="19"/>
      <c r="C61" s="19"/>
      <c r="D61" s="16"/>
    </row>
    <row r="62" spans="2:4" x14ac:dyDescent="0.2">
      <c r="B62" s="19"/>
      <c r="C62" s="19"/>
      <c r="D62" s="16"/>
    </row>
    <row r="63" spans="2:4" x14ac:dyDescent="0.2">
      <c r="B63" s="19"/>
      <c r="C63" s="19"/>
      <c r="D63" s="16"/>
    </row>
    <row r="64" spans="2:4" x14ac:dyDescent="0.2">
      <c r="B64" s="19"/>
      <c r="C64" s="19"/>
      <c r="D64" s="16"/>
    </row>
    <row r="65" spans="2:4" x14ac:dyDescent="0.2">
      <c r="B65" s="19"/>
      <c r="C65" s="19"/>
      <c r="D65" s="16"/>
    </row>
    <row r="66" spans="2:4" x14ac:dyDescent="0.2">
      <c r="B66" s="19"/>
      <c r="C66" s="19"/>
      <c r="D66" s="16"/>
    </row>
    <row r="67" spans="2:4" x14ac:dyDescent="0.2">
      <c r="B67" s="19"/>
      <c r="C67" s="19"/>
      <c r="D67" s="16"/>
    </row>
    <row r="68" spans="2:4" x14ac:dyDescent="0.2">
      <c r="B68" s="19"/>
      <c r="C68" s="19"/>
      <c r="D68" s="16"/>
    </row>
    <row r="69" spans="2:4" x14ac:dyDescent="0.2">
      <c r="B69" s="19"/>
      <c r="C69" s="19"/>
      <c r="D69" s="16"/>
    </row>
    <row r="70" spans="2:4" x14ac:dyDescent="0.2">
      <c r="B70" s="19"/>
      <c r="C70" s="19"/>
      <c r="D70" s="16"/>
    </row>
    <row r="71" spans="2:4" x14ac:dyDescent="0.2">
      <c r="B71" s="19"/>
      <c r="C71" s="19"/>
      <c r="D71" s="16"/>
    </row>
    <row r="72" spans="2:4" x14ac:dyDescent="0.2">
      <c r="B72" s="19"/>
      <c r="C72" s="19"/>
      <c r="D72" s="16"/>
    </row>
    <row r="73" spans="2:4" x14ac:dyDescent="0.2">
      <c r="B73" s="19"/>
      <c r="C73" s="19"/>
      <c r="D73" s="16"/>
    </row>
    <row r="74" spans="2:4" x14ac:dyDescent="0.2">
      <c r="B74" s="19"/>
      <c r="C74" s="19"/>
      <c r="D74" s="16"/>
    </row>
    <row r="75" spans="2:4" x14ac:dyDescent="0.2">
      <c r="B75" s="19"/>
      <c r="C75" s="19"/>
      <c r="D75" s="16"/>
    </row>
    <row r="76" spans="2:4" x14ac:dyDescent="0.2">
      <c r="B76" s="19"/>
      <c r="C76" s="19"/>
      <c r="D76" s="16"/>
    </row>
    <row r="77" spans="2:4" x14ac:dyDescent="0.2">
      <c r="B77" s="19"/>
      <c r="C77" s="19"/>
      <c r="D77" s="16"/>
    </row>
    <row r="78" spans="2:4" x14ac:dyDescent="0.2">
      <c r="B78" s="19"/>
      <c r="C78" s="19"/>
      <c r="D78" s="16"/>
    </row>
    <row r="79" spans="2:4" x14ac:dyDescent="0.2">
      <c r="B79" s="19"/>
      <c r="C79" s="19"/>
      <c r="D79" s="16"/>
    </row>
    <row r="80" spans="2:4" x14ac:dyDescent="0.2">
      <c r="B80" s="19"/>
      <c r="C80" s="19"/>
      <c r="D80" s="16"/>
    </row>
    <row r="81" spans="2:4" x14ac:dyDescent="0.2">
      <c r="B81" s="19"/>
      <c r="C81" s="19"/>
      <c r="D81" s="16"/>
    </row>
    <row r="82" spans="2:4" x14ac:dyDescent="0.2">
      <c r="B82" s="19"/>
      <c r="C82" s="19"/>
      <c r="D82" s="16"/>
    </row>
    <row r="83" spans="2:4" x14ac:dyDescent="0.2">
      <c r="B83" s="19"/>
      <c r="C83" s="19"/>
      <c r="D83" s="16"/>
    </row>
    <row r="84" spans="2:4" x14ac:dyDescent="0.2">
      <c r="B84" s="19"/>
      <c r="C84" s="19"/>
      <c r="D84" s="16"/>
    </row>
    <row r="85" spans="2:4" x14ac:dyDescent="0.2">
      <c r="B85" s="19"/>
      <c r="C85" s="19"/>
      <c r="D85" s="16"/>
    </row>
    <row r="86" spans="2:4" x14ac:dyDescent="0.2">
      <c r="B86" s="19"/>
      <c r="C86" s="19"/>
      <c r="D86" s="16"/>
    </row>
    <row r="87" spans="2:4" x14ac:dyDescent="0.2">
      <c r="B87" s="19"/>
      <c r="C87" s="19"/>
      <c r="D87" s="16"/>
    </row>
    <row r="88" spans="2:4" x14ac:dyDescent="0.2">
      <c r="B88" s="19"/>
      <c r="C88" s="19"/>
      <c r="D88" s="16"/>
    </row>
    <row r="89" spans="2:4" x14ac:dyDescent="0.2">
      <c r="B89" s="19"/>
      <c r="C89" s="19"/>
      <c r="D89" s="16"/>
    </row>
    <row r="90" spans="2:4" x14ac:dyDescent="0.2">
      <c r="B90" s="19"/>
      <c r="C90" s="19"/>
      <c r="D90" s="16"/>
    </row>
    <row r="91" spans="2:4" x14ac:dyDescent="0.2">
      <c r="B91" s="19"/>
      <c r="C91" s="19"/>
      <c r="D91" s="16"/>
    </row>
    <row r="92" spans="2:4" x14ac:dyDescent="0.2">
      <c r="B92" s="19"/>
      <c r="C92" s="19"/>
      <c r="D92" s="16"/>
    </row>
    <row r="93" spans="2:4" x14ac:dyDescent="0.2">
      <c r="B93" s="19"/>
      <c r="C93" s="19"/>
      <c r="D93" s="16"/>
    </row>
    <row r="94" spans="2:4" x14ac:dyDescent="0.2">
      <c r="B94" s="19"/>
      <c r="C94" s="19"/>
      <c r="D94" s="16"/>
    </row>
    <row r="95" spans="2:4" x14ac:dyDescent="0.2">
      <c r="B95" s="19"/>
      <c r="C95" s="19"/>
      <c r="D95" s="16"/>
    </row>
    <row r="96" spans="2:4" x14ac:dyDescent="0.2">
      <c r="B96" s="19"/>
      <c r="C96" s="19"/>
      <c r="D96" s="16"/>
    </row>
    <row r="97" spans="2:4" x14ac:dyDescent="0.2">
      <c r="B97" s="19"/>
      <c r="C97" s="19"/>
      <c r="D97" s="16"/>
    </row>
    <row r="98" spans="2:4" x14ac:dyDescent="0.2">
      <c r="B98" s="19"/>
      <c r="C98" s="19"/>
      <c r="D98" s="16"/>
    </row>
    <row r="99" spans="2:4" x14ac:dyDescent="0.2">
      <c r="B99" s="19"/>
      <c r="C99" s="19"/>
      <c r="D99" s="16"/>
    </row>
    <row r="100" spans="2:4" x14ac:dyDescent="0.2">
      <c r="B100" s="19"/>
      <c r="C100" s="19"/>
      <c r="D100" s="16"/>
    </row>
    <row r="101" spans="2:4" x14ac:dyDescent="0.2">
      <c r="B101" s="19"/>
      <c r="C101" s="19"/>
      <c r="D101" s="16"/>
    </row>
    <row r="102" spans="2:4" x14ac:dyDescent="0.2">
      <c r="B102" s="19"/>
      <c r="C102" s="19"/>
      <c r="D102" s="16"/>
    </row>
    <row r="103" spans="2:4" x14ac:dyDescent="0.2">
      <c r="B103" s="19"/>
      <c r="C103" s="19"/>
      <c r="D103" s="16"/>
    </row>
    <row r="104" spans="2:4" x14ac:dyDescent="0.2">
      <c r="B104" s="19"/>
      <c r="C104" s="19"/>
      <c r="D104" s="16"/>
    </row>
    <row r="105" spans="2:4" x14ac:dyDescent="0.2">
      <c r="B105" s="19"/>
      <c r="C105" s="19"/>
      <c r="D105" s="16"/>
    </row>
    <row r="106" spans="2:4" x14ac:dyDescent="0.2">
      <c r="B106" s="19"/>
      <c r="C106" s="19"/>
      <c r="D106" s="16"/>
    </row>
    <row r="107" spans="2:4" x14ac:dyDescent="0.2">
      <c r="B107" s="19"/>
      <c r="C107" s="19"/>
      <c r="D107" s="16"/>
    </row>
    <row r="108" spans="2:4" x14ac:dyDescent="0.2">
      <c r="B108" s="19"/>
      <c r="C108" s="19"/>
      <c r="D108" s="16"/>
    </row>
    <row r="109" spans="2:4" x14ac:dyDescent="0.2">
      <c r="B109" s="19"/>
      <c r="C109" s="19"/>
      <c r="D109" s="16"/>
    </row>
    <row r="110" spans="2:4" x14ac:dyDescent="0.2">
      <c r="B110" s="19"/>
      <c r="C110" s="19"/>
      <c r="D110" s="16"/>
    </row>
    <row r="111" spans="2:4" x14ac:dyDescent="0.2">
      <c r="B111" s="19"/>
      <c r="C111" s="19"/>
      <c r="D111" s="16"/>
    </row>
    <row r="112" spans="2:4" x14ac:dyDescent="0.2">
      <c r="B112" s="19"/>
      <c r="C112" s="19"/>
      <c r="D112" s="16"/>
    </row>
    <row r="113" spans="2:4" x14ac:dyDescent="0.2">
      <c r="B113" s="19"/>
      <c r="C113" s="19"/>
      <c r="D113" s="16"/>
    </row>
    <row r="114" spans="2:4" x14ac:dyDescent="0.2">
      <c r="B114" s="19"/>
      <c r="C114" s="19"/>
      <c r="D114" s="16"/>
    </row>
    <row r="115" spans="2:4" x14ac:dyDescent="0.2">
      <c r="B115" s="19"/>
      <c r="C115" s="19"/>
      <c r="D115" s="16"/>
    </row>
    <row r="116" spans="2:4" x14ac:dyDescent="0.2">
      <c r="B116" s="19"/>
      <c r="C116" s="19"/>
      <c r="D116" s="16"/>
    </row>
    <row r="117" spans="2:4" x14ac:dyDescent="0.2">
      <c r="B117" s="19"/>
      <c r="C117" s="19"/>
      <c r="D117" s="16"/>
    </row>
    <row r="118" spans="2:4" x14ac:dyDescent="0.2">
      <c r="B118" s="19"/>
      <c r="C118" s="19"/>
      <c r="D118" s="16"/>
    </row>
    <row r="119" spans="2:4" x14ac:dyDescent="0.2">
      <c r="B119" s="19"/>
      <c r="C119" s="19"/>
      <c r="D119" s="16"/>
    </row>
    <row r="120" spans="2:4" x14ac:dyDescent="0.2">
      <c r="B120" s="19"/>
      <c r="C120" s="19"/>
      <c r="D120" s="16"/>
    </row>
    <row r="121" spans="2:4" x14ac:dyDescent="0.2">
      <c r="B121" s="19"/>
      <c r="C121" s="19"/>
      <c r="D121" s="16"/>
    </row>
    <row r="122" spans="2:4" x14ac:dyDescent="0.2">
      <c r="B122" s="19"/>
      <c r="C122" s="19"/>
      <c r="D122" s="16"/>
    </row>
    <row r="123" spans="2:4" x14ac:dyDescent="0.2">
      <c r="B123" s="19"/>
      <c r="C123" s="19"/>
      <c r="D123" s="16"/>
    </row>
    <row r="124" spans="2:4" x14ac:dyDescent="0.2">
      <c r="B124" s="19"/>
      <c r="C124" s="19"/>
      <c r="D124" s="16"/>
    </row>
    <row r="125" spans="2:4" x14ac:dyDescent="0.2">
      <c r="B125" s="19"/>
      <c r="C125" s="19"/>
      <c r="D125" s="16"/>
    </row>
    <row r="126" spans="2:4" x14ac:dyDescent="0.2">
      <c r="B126" s="19"/>
      <c r="C126" s="19"/>
      <c r="D126" s="16"/>
    </row>
    <row r="127" spans="2:4" x14ac:dyDescent="0.2">
      <c r="B127" s="19"/>
      <c r="C127" s="19"/>
      <c r="D127" s="16"/>
    </row>
    <row r="128" spans="2:4" x14ac:dyDescent="0.2">
      <c r="B128" s="19"/>
      <c r="C128" s="19"/>
      <c r="D128" s="16"/>
    </row>
    <row r="129" spans="2:4" x14ac:dyDescent="0.2">
      <c r="B129" s="19"/>
      <c r="C129" s="19"/>
      <c r="D129" s="16"/>
    </row>
    <row r="130" spans="2:4" x14ac:dyDescent="0.2">
      <c r="B130" s="19"/>
      <c r="C130" s="19"/>
      <c r="D130" s="16"/>
    </row>
    <row r="131" spans="2:4" x14ac:dyDescent="0.2">
      <c r="B131" s="20"/>
      <c r="C131" s="20"/>
      <c r="D131" s="20"/>
    </row>
  </sheetData>
  <autoFilter ref="A1:R12" xr:uid="{389E8EA0-E9ED-449A-B52E-4BBE7BDE6D97}"/>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7AE7E-4C6F-4EA7-B3D6-3630B6E0245C}">
  <dimension ref="A1:R355"/>
  <sheetViews>
    <sheetView zoomScaleNormal="100" workbookViewId="0">
      <pane xSplit="4" ySplit="1" topLeftCell="M2" activePane="bottomRight" state="frozen"/>
      <selection pane="topRight" activeCell="E1" sqref="E1"/>
      <selection pane="bottomLeft" activeCell="A2" sqref="A2"/>
      <selection pane="bottomRight" activeCell="A4" sqref="A4:XFD5"/>
    </sheetView>
  </sheetViews>
  <sheetFormatPr baseColWidth="10" defaultColWidth="65.85546875" defaultRowHeight="12.75" x14ac:dyDescent="0.2"/>
  <cols>
    <col min="1" max="1" width="5.7109375" style="14" customWidth="1"/>
    <col min="2" max="2" width="7.5703125" style="14" customWidth="1"/>
    <col min="3" max="3" width="11" style="14" bestFit="1" customWidth="1"/>
    <col min="4" max="4" width="13.28515625" style="14" customWidth="1"/>
    <col min="5" max="5" width="28.28515625" style="14" customWidth="1"/>
    <col min="6" max="6" width="6.28515625" style="14" customWidth="1"/>
    <col min="7" max="7" width="36.7109375" style="14" customWidth="1"/>
    <col min="8" max="8" width="43.42578125" style="14" customWidth="1"/>
    <col min="9" max="9" width="16.28515625" style="14" customWidth="1"/>
    <col min="10" max="10" width="9" style="14" customWidth="1"/>
    <col min="11" max="11" width="7.85546875" style="14" customWidth="1"/>
    <col min="12" max="12" width="14.5703125" style="14" customWidth="1"/>
    <col min="13" max="13" width="6.28515625" style="14" customWidth="1"/>
    <col min="14" max="14" width="31.42578125" style="14" customWidth="1"/>
    <col min="15" max="15" width="9.28515625" style="14" customWidth="1"/>
    <col min="16" max="16" width="10.5703125" style="14" customWidth="1"/>
    <col min="17" max="17" width="46" style="24" customWidth="1"/>
    <col min="18" max="18" width="15.28515625" style="14" bestFit="1" customWidth="1"/>
    <col min="19" max="16384" width="65.85546875" style="14"/>
  </cols>
  <sheetData>
    <row r="1" spans="1:18" ht="64.5" thickBot="1" x14ac:dyDescent="0.25">
      <c r="A1" s="25" t="s">
        <v>3676</v>
      </c>
      <c r="B1" s="25" t="s">
        <v>3677</v>
      </c>
      <c r="C1" s="25" t="s">
        <v>3678</v>
      </c>
      <c r="D1" s="25" t="s">
        <v>3677</v>
      </c>
      <c r="E1" s="26" t="s">
        <v>3680</v>
      </c>
      <c r="F1" s="27" t="s">
        <v>3681</v>
      </c>
      <c r="G1" s="26" t="s">
        <v>3682</v>
      </c>
      <c r="H1" s="26" t="s">
        <v>3683</v>
      </c>
      <c r="I1" s="26" t="s">
        <v>3684</v>
      </c>
      <c r="J1" s="27" t="s">
        <v>3685</v>
      </c>
      <c r="K1" s="26" t="s">
        <v>3069</v>
      </c>
      <c r="L1" s="27" t="s">
        <v>3686</v>
      </c>
      <c r="M1" s="26" t="s">
        <v>3687</v>
      </c>
      <c r="N1" s="26" t="s">
        <v>3688</v>
      </c>
      <c r="O1" s="27" t="s">
        <v>3689</v>
      </c>
      <c r="P1" s="27" t="s">
        <v>3921</v>
      </c>
      <c r="Q1" s="26" t="s">
        <v>3691</v>
      </c>
      <c r="R1" s="14" t="s">
        <v>3922</v>
      </c>
    </row>
    <row r="2" spans="1:18" ht="26.25" thickTop="1" x14ac:dyDescent="0.2">
      <c r="A2" s="28" t="s">
        <v>4013</v>
      </c>
      <c r="B2" s="29" t="str">
        <f>'[1]Calculos Indicadores'!C110</f>
        <v>8.1</v>
      </c>
      <c r="C2" s="29" t="b">
        <f>D2=E2</f>
        <v>1</v>
      </c>
      <c r="D2" s="30" t="str">
        <f>Calculos!B108</f>
        <v>Carga de trabajo por juez o jueza en I, II instancia,Casación y única instancia</v>
      </c>
      <c r="E2" s="34" t="s">
        <v>3093</v>
      </c>
      <c r="F2" s="34" t="s">
        <v>3693</v>
      </c>
      <c r="G2" s="34" t="s">
        <v>4014</v>
      </c>
      <c r="H2" s="32" t="s">
        <v>4015</v>
      </c>
      <c r="I2" s="34" t="s">
        <v>4016</v>
      </c>
      <c r="J2" s="28" t="s">
        <v>3973</v>
      </c>
      <c r="K2" s="28" t="s">
        <v>3696</v>
      </c>
      <c r="L2" s="28" t="s">
        <v>3873</v>
      </c>
      <c r="M2" s="28" t="s">
        <v>3698</v>
      </c>
      <c r="N2" s="33" t="s">
        <v>4017</v>
      </c>
      <c r="O2" s="28" t="s">
        <v>3700</v>
      </c>
      <c r="P2" s="28" t="s">
        <v>4018</v>
      </c>
      <c r="Q2" s="29"/>
    </row>
    <row r="3" spans="1:18" ht="25.5" x14ac:dyDescent="0.2">
      <c r="A3" s="28" t="s">
        <v>4019</v>
      </c>
      <c r="B3" s="29" t="str">
        <f>'[1]Calculos Indicadores'!C111</f>
        <v>8.1.1</v>
      </c>
      <c r="C3" s="29" t="b">
        <f t="shared" ref="C3:C58" si="0">D3=E3</f>
        <v>1</v>
      </c>
      <c r="D3" s="30" t="str">
        <f>Calculos!B109</f>
        <v>Carga de trabajo por Juez o Jueza de II Instancia, Casación</v>
      </c>
      <c r="E3" s="31" t="s">
        <v>3094</v>
      </c>
      <c r="F3" s="31" t="s">
        <v>3693</v>
      </c>
      <c r="G3" s="31" t="s">
        <v>4020</v>
      </c>
      <c r="H3" s="32" t="s">
        <v>4021</v>
      </c>
      <c r="I3" s="31" t="s">
        <v>4022</v>
      </c>
      <c r="J3" s="28" t="s">
        <v>3973</v>
      </c>
      <c r="K3" s="28" t="s">
        <v>3696</v>
      </c>
      <c r="L3" s="28" t="s">
        <v>3873</v>
      </c>
      <c r="M3" s="28" t="s">
        <v>3698</v>
      </c>
      <c r="N3" s="33" t="s">
        <v>4017</v>
      </c>
      <c r="O3" s="28" t="s">
        <v>3700</v>
      </c>
      <c r="P3" s="28" t="s">
        <v>4018</v>
      </c>
      <c r="Q3" s="29"/>
      <c r="R3" s="14" t="s">
        <v>3922</v>
      </c>
    </row>
    <row r="4" spans="1:18" ht="25.5" x14ac:dyDescent="0.2">
      <c r="A4" s="28" t="s">
        <v>4023</v>
      </c>
      <c r="B4" s="29" t="str">
        <f>'[1]Calculos Indicadores'!C112</f>
        <v>8.1.2</v>
      </c>
      <c r="C4" s="29" t="b">
        <f t="shared" si="0"/>
        <v>1</v>
      </c>
      <c r="D4" s="30" t="str">
        <f>Calculos!B110</f>
        <v>Carga de trabajo por Juez o Jueza de I Instancia Jurisdiccional</v>
      </c>
      <c r="E4" s="34" t="s">
        <v>3095</v>
      </c>
      <c r="F4" s="34" t="s">
        <v>3693</v>
      </c>
      <c r="G4" s="34" t="s">
        <v>4024</v>
      </c>
      <c r="H4" s="32" t="s">
        <v>4025</v>
      </c>
      <c r="I4" s="34" t="s">
        <v>4026</v>
      </c>
      <c r="J4" s="28" t="s">
        <v>3973</v>
      </c>
      <c r="K4" s="28" t="s">
        <v>3696</v>
      </c>
      <c r="L4" s="28" t="s">
        <v>3873</v>
      </c>
      <c r="M4" s="28" t="s">
        <v>3698</v>
      </c>
      <c r="N4" s="33" t="s">
        <v>4017</v>
      </c>
      <c r="O4" s="28" t="s">
        <v>3700</v>
      </c>
      <c r="P4" s="28" t="s">
        <v>4018</v>
      </c>
      <c r="Q4" s="29" t="s">
        <v>4027</v>
      </c>
      <c r="R4" s="14" t="s">
        <v>3922</v>
      </c>
    </row>
    <row r="5" spans="1:18" ht="25.5" x14ac:dyDescent="0.2">
      <c r="A5" s="28" t="s">
        <v>4028</v>
      </c>
      <c r="B5" s="29" t="str">
        <f>'[1]Calculos Indicadores'!C113</f>
        <v>8.1.2.1</v>
      </c>
      <c r="C5" s="29" t="b">
        <f t="shared" si="0"/>
        <v>1</v>
      </c>
      <c r="D5" s="30" t="str">
        <f>Calculos!B111</f>
        <v>Carga de trabajo por fiscal o fiscala en el Ministerio Público (adultos y Penal Juvenil)</v>
      </c>
      <c r="E5" s="31" t="s">
        <v>3096</v>
      </c>
      <c r="F5" s="31" t="s">
        <v>3693</v>
      </c>
      <c r="G5" s="31" t="s">
        <v>4029</v>
      </c>
      <c r="H5" s="32" t="s">
        <v>4030</v>
      </c>
      <c r="I5" s="31" t="s">
        <v>4031</v>
      </c>
      <c r="J5" s="28" t="s">
        <v>3973</v>
      </c>
      <c r="K5" s="28" t="s">
        <v>3696</v>
      </c>
      <c r="L5" s="28" t="s">
        <v>3873</v>
      </c>
      <c r="M5" s="28" t="s">
        <v>3698</v>
      </c>
      <c r="N5" s="33" t="s">
        <v>4017</v>
      </c>
      <c r="O5" s="28" t="s">
        <v>3700</v>
      </c>
      <c r="P5" s="28" t="s">
        <v>4018</v>
      </c>
      <c r="Q5" s="29"/>
      <c r="R5" s="14" t="s">
        <v>3922</v>
      </c>
    </row>
    <row r="6" spans="1:18" ht="25.5" x14ac:dyDescent="0.2">
      <c r="A6" s="28" t="s">
        <v>4032</v>
      </c>
      <c r="B6" s="29" t="str">
        <f>'[1]Calculos Indicadores'!C114</f>
        <v>8.1.3</v>
      </c>
      <c r="C6" s="29" t="b">
        <f t="shared" si="0"/>
        <v>1</v>
      </c>
      <c r="D6" s="30" t="str">
        <f>Calculos!B112</f>
        <v>Carga de trabajo por defensor o defensora en la Defensa Pública</v>
      </c>
      <c r="E6" s="34" t="s">
        <v>3097</v>
      </c>
      <c r="F6" s="34" t="s">
        <v>3693</v>
      </c>
      <c r="G6" s="34" t="s">
        <v>4033</v>
      </c>
      <c r="H6" s="32" t="s">
        <v>4034</v>
      </c>
      <c r="I6" s="34" t="s">
        <v>4035</v>
      </c>
      <c r="J6" s="28" t="s">
        <v>3973</v>
      </c>
      <c r="K6" s="28" t="s">
        <v>3696</v>
      </c>
      <c r="L6" s="28" t="s">
        <v>3873</v>
      </c>
      <c r="M6" s="28" t="s">
        <v>3698</v>
      </c>
      <c r="N6" s="33" t="s">
        <v>4017</v>
      </c>
      <c r="O6" s="28" t="s">
        <v>3700</v>
      </c>
      <c r="P6" s="28" t="s">
        <v>4018</v>
      </c>
      <c r="Q6" s="29"/>
      <c r="R6" s="14" t="s">
        <v>3922</v>
      </c>
    </row>
    <row r="7" spans="1:18" ht="25.5" x14ac:dyDescent="0.2">
      <c r="A7" s="28" t="s">
        <v>4036</v>
      </c>
      <c r="B7" s="29" t="str">
        <f>'[1]Calculos Indicadores'!C115</f>
        <v>8.1.4</v>
      </c>
      <c r="C7" s="29" t="b">
        <f t="shared" si="0"/>
        <v>1</v>
      </c>
      <c r="D7" s="30" t="str">
        <f>Calculos!B113</f>
        <v>Carga de trabajo por investigador o investigadora en el Organismo de Investigación Judicial</v>
      </c>
      <c r="E7" s="31" t="s">
        <v>3098</v>
      </c>
      <c r="F7" s="31" t="s">
        <v>3693</v>
      </c>
      <c r="G7" s="31" t="s">
        <v>4037</v>
      </c>
      <c r="H7" s="32" t="s">
        <v>4038</v>
      </c>
      <c r="I7" s="31" t="s">
        <v>4039</v>
      </c>
      <c r="J7" s="28" t="s">
        <v>3973</v>
      </c>
      <c r="K7" s="28" t="s">
        <v>3696</v>
      </c>
      <c r="L7" s="28" t="s">
        <v>3873</v>
      </c>
      <c r="M7" s="28" t="s">
        <v>3698</v>
      </c>
      <c r="N7" s="33" t="s">
        <v>4017</v>
      </c>
      <c r="O7" s="28" t="s">
        <v>1078</v>
      </c>
      <c r="P7" s="28" t="s">
        <v>4018</v>
      </c>
      <c r="Q7" s="29" t="s">
        <v>4040</v>
      </c>
    </row>
    <row r="8" spans="1:18" ht="25.5" x14ac:dyDescent="0.2">
      <c r="A8" s="28"/>
      <c r="B8" s="29">
        <f>'[1]Calculos Indicadores'!C116</f>
        <v>9</v>
      </c>
      <c r="C8" s="29" t="b">
        <f t="shared" si="0"/>
        <v>1</v>
      </c>
      <c r="D8" s="30" t="str">
        <f>Calculos!B114</f>
        <v>Carga de trabajo en I y II Instancia, OIJ, Ciencias Forenses, DP y APVT</v>
      </c>
      <c r="E8" s="34" t="s">
        <v>3099</v>
      </c>
      <c r="F8" s="34" t="s">
        <v>3693</v>
      </c>
      <c r="G8" s="34" t="s">
        <v>4041</v>
      </c>
      <c r="H8" s="32" t="s">
        <v>4042</v>
      </c>
      <c r="I8" s="34" t="s">
        <v>4043</v>
      </c>
      <c r="J8" s="28" t="s">
        <v>3973</v>
      </c>
      <c r="K8" s="28" t="s">
        <v>3696</v>
      </c>
      <c r="L8" s="28" t="s">
        <v>3873</v>
      </c>
      <c r="M8" s="28" t="s">
        <v>3698</v>
      </c>
      <c r="N8" s="33" t="s">
        <v>4044</v>
      </c>
      <c r="O8" s="28" t="s">
        <v>1078</v>
      </c>
      <c r="P8" s="28" t="s">
        <v>4018</v>
      </c>
      <c r="Q8" s="29" t="s">
        <v>4040</v>
      </c>
    </row>
    <row r="9" spans="1:18" ht="25.5" x14ac:dyDescent="0.2">
      <c r="A9" s="28"/>
      <c r="B9" s="29">
        <f>'[1]Calculos Indicadores'!C117</f>
        <v>9.1</v>
      </c>
      <c r="C9" s="29" t="b">
        <f t="shared" si="0"/>
        <v>1</v>
      </c>
      <c r="D9" s="30" t="str">
        <f>Calculos!B115</f>
        <v>Carga de trabajo en I Instancia Jurisdiccional</v>
      </c>
      <c r="E9" s="31" t="s">
        <v>3100</v>
      </c>
      <c r="F9" s="31" t="s">
        <v>3693</v>
      </c>
      <c r="G9" s="31" t="s">
        <v>4045</v>
      </c>
      <c r="H9" s="32" t="s">
        <v>4046</v>
      </c>
      <c r="I9" s="31" t="s">
        <v>4047</v>
      </c>
      <c r="J9" s="28" t="s">
        <v>3973</v>
      </c>
      <c r="K9" s="28" t="s">
        <v>3696</v>
      </c>
      <c r="L9" s="28" t="s">
        <v>3873</v>
      </c>
      <c r="M9" s="28" t="s">
        <v>3698</v>
      </c>
      <c r="N9" s="33" t="s">
        <v>4044</v>
      </c>
      <c r="O9" s="28" t="s">
        <v>3700</v>
      </c>
      <c r="P9" s="28" t="s">
        <v>4018</v>
      </c>
      <c r="Q9" s="29"/>
    </row>
    <row r="10" spans="1:18" ht="25.5" x14ac:dyDescent="0.2">
      <c r="A10" s="28"/>
      <c r="B10" s="29"/>
      <c r="C10" s="29" t="b">
        <f t="shared" ref="C10" si="1">D10=E10</f>
        <v>1</v>
      </c>
      <c r="D10" s="30" t="str">
        <f>Calculos!B116</f>
        <v>Carga de trabajo en I Instancia Jurisdiccional-Trámite</v>
      </c>
      <c r="E10" s="34" t="s">
        <v>3101</v>
      </c>
      <c r="F10" s="34" t="s">
        <v>3693</v>
      </c>
      <c r="G10" s="34" t="s">
        <v>4048</v>
      </c>
      <c r="H10" s="32" t="s">
        <v>4049</v>
      </c>
      <c r="I10" s="34" t="s">
        <v>4050</v>
      </c>
      <c r="J10" s="28" t="s">
        <v>3973</v>
      </c>
      <c r="K10" s="28" t="s">
        <v>3696</v>
      </c>
      <c r="L10" s="28" t="s">
        <v>3873</v>
      </c>
      <c r="M10" s="28" t="s">
        <v>3698</v>
      </c>
      <c r="N10" s="33" t="s">
        <v>4044</v>
      </c>
      <c r="O10" s="28" t="s">
        <v>3700</v>
      </c>
      <c r="P10" s="28" t="s">
        <v>4018</v>
      </c>
      <c r="Q10" s="29"/>
    </row>
    <row r="11" spans="1:18" ht="25.5" x14ac:dyDescent="0.2">
      <c r="A11" s="28"/>
      <c r="B11" s="29" t="str">
        <f>'[1]Calculos Indicadores'!C118</f>
        <v>9.1.a</v>
      </c>
      <c r="C11" s="29" t="b">
        <f t="shared" si="0"/>
        <v>1</v>
      </c>
      <c r="D11" s="30" t="str">
        <f>Calculos!B117</f>
        <v>Carga de trabajo en I Instancia Jurisdiccional + Ministerio Público</v>
      </c>
      <c r="E11" s="31" t="s">
        <v>3102</v>
      </c>
      <c r="F11" s="31" t="s">
        <v>3693</v>
      </c>
      <c r="G11" s="31" t="s">
        <v>4051</v>
      </c>
      <c r="H11" s="32" t="s">
        <v>4052</v>
      </c>
      <c r="I11" s="31" t="s">
        <v>4053</v>
      </c>
      <c r="J11" s="28" t="s">
        <v>3973</v>
      </c>
      <c r="K11" s="28" t="s">
        <v>3696</v>
      </c>
      <c r="L11" s="28" t="s">
        <v>3873</v>
      </c>
      <c r="M11" s="28" t="s">
        <v>3698</v>
      </c>
      <c r="N11" s="33" t="s">
        <v>4044</v>
      </c>
      <c r="O11" s="28" t="s">
        <v>3700</v>
      </c>
      <c r="P11" s="28" t="s">
        <v>4018</v>
      </c>
      <c r="Q11" s="29"/>
    </row>
    <row r="12" spans="1:18" ht="25.5" x14ac:dyDescent="0.2">
      <c r="A12" s="28"/>
      <c r="B12" s="29" t="str">
        <f>'[1]Calculos Indicadores'!C119</f>
        <v>9.1.1</v>
      </c>
      <c r="C12" s="29" t="b">
        <f t="shared" si="0"/>
        <v>1</v>
      </c>
      <c r="D12" s="30" t="str">
        <f>Calculos!B118</f>
        <v>Carga de trabajo en I Instancia materias no penales</v>
      </c>
      <c r="E12" s="34" t="s">
        <v>3103</v>
      </c>
      <c r="F12" s="34" t="s">
        <v>3693</v>
      </c>
      <c r="G12" s="34" t="s">
        <v>4054</v>
      </c>
      <c r="H12" s="32" t="s">
        <v>4055</v>
      </c>
      <c r="I12" s="34" t="s">
        <v>4056</v>
      </c>
      <c r="J12" s="28" t="s">
        <v>3973</v>
      </c>
      <c r="K12" s="28" t="s">
        <v>3696</v>
      </c>
      <c r="L12" s="28" t="s">
        <v>3873</v>
      </c>
      <c r="M12" s="28" t="s">
        <v>3698</v>
      </c>
      <c r="N12" s="33" t="s">
        <v>4044</v>
      </c>
      <c r="O12" s="28" t="s">
        <v>3700</v>
      </c>
      <c r="P12" s="28" t="s">
        <v>4018</v>
      </c>
      <c r="Q12" s="29"/>
    </row>
    <row r="13" spans="1:18" ht="25.5" x14ac:dyDescent="0.2">
      <c r="A13" s="28"/>
      <c r="B13" s="29" t="str">
        <f>'[1]Calculos Indicadores'!C120</f>
        <v>9.1.1.1</v>
      </c>
      <c r="C13" s="29" t="b">
        <f t="shared" si="0"/>
        <v>1</v>
      </c>
      <c r="D13" s="30" t="str">
        <f>Calculos!B119</f>
        <v>Carga de trabajo en I Instancia materia Civil</v>
      </c>
      <c r="E13" s="31" t="s">
        <v>3104</v>
      </c>
      <c r="F13" s="31" t="s">
        <v>3693</v>
      </c>
      <c r="G13" s="31" t="s">
        <v>4057</v>
      </c>
      <c r="H13" s="32" t="s">
        <v>4058</v>
      </c>
      <c r="I13" s="31" t="s">
        <v>4059</v>
      </c>
      <c r="J13" s="28" t="s">
        <v>3973</v>
      </c>
      <c r="K13" s="28" t="s">
        <v>3696</v>
      </c>
      <c r="L13" s="28" t="s">
        <v>4060</v>
      </c>
      <c r="M13" s="28" t="s">
        <v>3698</v>
      </c>
      <c r="N13" s="33" t="s">
        <v>4061</v>
      </c>
      <c r="O13" s="28" t="s">
        <v>3700</v>
      </c>
      <c r="P13" s="28" t="s">
        <v>4018</v>
      </c>
      <c r="Q13" s="29"/>
    </row>
    <row r="14" spans="1:18" ht="25.5" x14ac:dyDescent="0.2">
      <c r="A14" s="28"/>
      <c r="B14" s="29" t="str">
        <f>'[1]Calculos Indicadores'!C121</f>
        <v>9.1.1.2</v>
      </c>
      <c r="C14" s="29" t="b">
        <f t="shared" si="0"/>
        <v>1</v>
      </c>
      <c r="D14" s="30" t="str">
        <f>Calculos!B120</f>
        <v>Carga de trabajo en I Instancia materia Cobro</v>
      </c>
      <c r="E14" s="34" t="s">
        <v>3105</v>
      </c>
      <c r="F14" s="34" t="s">
        <v>3693</v>
      </c>
      <c r="G14" s="34" t="s">
        <v>4062</v>
      </c>
      <c r="H14" s="32" t="s">
        <v>4058</v>
      </c>
      <c r="I14" s="34" t="s">
        <v>4063</v>
      </c>
      <c r="J14" s="28" t="s">
        <v>3973</v>
      </c>
      <c r="K14" s="28" t="s">
        <v>3696</v>
      </c>
      <c r="L14" s="28" t="s">
        <v>4060</v>
      </c>
      <c r="M14" s="28" t="s">
        <v>3698</v>
      </c>
      <c r="N14" s="33" t="s">
        <v>4061</v>
      </c>
      <c r="O14" s="28" t="s">
        <v>4064</v>
      </c>
      <c r="P14" s="28" t="s">
        <v>4018</v>
      </c>
      <c r="Q14" s="29"/>
    </row>
    <row r="15" spans="1:18" ht="25.5" x14ac:dyDescent="0.2">
      <c r="A15" s="28"/>
      <c r="B15" s="29" t="str">
        <f>'[1]Calculos Indicadores'!C122</f>
        <v>9.1.1.3</v>
      </c>
      <c r="C15" s="29" t="b">
        <f t="shared" si="0"/>
        <v>1</v>
      </c>
      <c r="D15" s="30" t="str">
        <f>Calculos!B121</f>
        <v>Carga de trabajo en I Instancia materia Agraria</v>
      </c>
      <c r="E15" s="31" t="s">
        <v>3106</v>
      </c>
      <c r="F15" s="31" t="s">
        <v>3693</v>
      </c>
      <c r="G15" s="31" t="s">
        <v>4065</v>
      </c>
      <c r="H15" s="32" t="s">
        <v>4066</v>
      </c>
      <c r="I15" s="31" t="s">
        <v>4067</v>
      </c>
      <c r="J15" s="28" t="s">
        <v>3973</v>
      </c>
      <c r="K15" s="28" t="s">
        <v>3696</v>
      </c>
      <c r="L15" s="28" t="s">
        <v>4060</v>
      </c>
      <c r="M15" s="28" t="s">
        <v>3698</v>
      </c>
      <c r="N15" s="33" t="s">
        <v>4061</v>
      </c>
      <c r="O15" s="28" t="s">
        <v>3700</v>
      </c>
      <c r="P15" s="28" t="s">
        <v>4018</v>
      </c>
      <c r="Q15" s="29"/>
    </row>
    <row r="16" spans="1:18" ht="25.5" x14ac:dyDescent="0.2">
      <c r="A16" s="28"/>
      <c r="B16" s="29" t="str">
        <f>'[1]Calculos Indicadores'!C123</f>
        <v>9.1.1.4</v>
      </c>
      <c r="C16" s="29" t="b">
        <f t="shared" si="0"/>
        <v>1</v>
      </c>
      <c r="D16" s="30" t="str">
        <f>Calculos!B122</f>
        <v>Carga de trabajo en I Instancia materia Familia</v>
      </c>
      <c r="E16" s="34" t="s">
        <v>3107</v>
      </c>
      <c r="F16" s="34" t="s">
        <v>3693</v>
      </c>
      <c r="G16" s="34" t="s">
        <v>4068</v>
      </c>
      <c r="H16" s="32" t="s">
        <v>4069</v>
      </c>
      <c r="I16" s="34" t="s">
        <v>4070</v>
      </c>
      <c r="J16" s="28" t="s">
        <v>3973</v>
      </c>
      <c r="K16" s="28" t="s">
        <v>3696</v>
      </c>
      <c r="L16" s="28" t="s">
        <v>4060</v>
      </c>
      <c r="M16" s="28" t="s">
        <v>3698</v>
      </c>
      <c r="N16" s="33" t="s">
        <v>4061</v>
      </c>
      <c r="O16" s="28" t="s">
        <v>3700</v>
      </c>
      <c r="P16" s="28" t="s">
        <v>4018</v>
      </c>
      <c r="Q16" s="29"/>
    </row>
    <row r="17" spans="1:17" ht="25.5" x14ac:dyDescent="0.2">
      <c r="A17" s="28"/>
      <c r="B17" s="29" t="str">
        <f>'[1]Calculos Indicadores'!C124</f>
        <v>9.1.1.5</v>
      </c>
      <c r="C17" s="29" t="b">
        <f t="shared" si="0"/>
        <v>1</v>
      </c>
      <c r="D17" s="30" t="str">
        <f>Calculos!B123</f>
        <v>Carga de trabajo en I Instancia materia Cont Adm</v>
      </c>
      <c r="E17" s="31" t="s">
        <v>3108</v>
      </c>
      <c r="F17" s="31" t="s">
        <v>3693</v>
      </c>
      <c r="G17" s="31" t="s">
        <v>4071</v>
      </c>
      <c r="H17" s="32" t="s">
        <v>4069</v>
      </c>
      <c r="I17" s="31" t="s">
        <v>4072</v>
      </c>
      <c r="J17" s="28" t="s">
        <v>3973</v>
      </c>
      <c r="K17" s="28" t="s">
        <v>3696</v>
      </c>
      <c r="L17" s="28" t="s">
        <v>4060</v>
      </c>
      <c r="M17" s="28" t="s">
        <v>3698</v>
      </c>
      <c r="N17" s="33" t="s">
        <v>4061</v>
      </c>
      <c r="O17" s="28" t="s">
        <v>3700</v>
      </c>
      <c r="P17" s="28" t="s">
        <v>4018</v>
      </c>
      <c r="Q17" s="29"/>
    </row>
    <row r="18" spans="1:17" ht="25.5" x14ac:dyDescent="0.2">
      <c r="A18" s="28"/>
      <c r="B18" s="29" t="str">
        <f>'[1]Calculos Indicadores'!C125</f>
        <v>9.1.1.6</v>
      </c>
      <c r="C18" s="29" t="b">
        <f t="shared" si="0"/>
        <v>1</v>
      </c>
      <c r="D18" s="30" t="str">
        <f>Calculos!B124</f>
        <v>Carga de trabajo en I Instancia materia Trabajo</v>
      </c>
      <c r="E18" s="34" t="s">
        <v>3109</v>
      </c>
      <c r="F18" s="34" t="s">
        <v>3693</v>
      </c>
      <c r="G18" s="34" t="s">
        <v>4073</v>
      </c>
      <c r="H18" s="32" t="s">
        <v>4069</v>
      </c>
      <c r="I18" s="34" t="s">
        <v>4074</v>
      </c>
      <c r="J18" s="28" t="s">
        <v>3973</v>
      </c>
      <c r="K18" s="28" t="s">
        <v>3696</v>
      </c>
      <c r="L18" s="28" t="s">
        <v>4060</v>
      </c>
      <c r="M18" s="28" t="s">
        <v>3698</v>
      </c>
      <c r="N18" s="33" t="s">
        <v>4061</v>
      </c>
      <c r="O18" s="28" t="s">
        <v>3700</v>
      </c>
      <c r="P18" s="28" t="s">
        <v>4018</v>
      </c>
      <c r="Q18" s="29"/>
    </row>
    <row r="19" spans="1:17" ht="25.5" x14ac:dyDescent="0.2">
      <c r="A19" s="28"/>
      <c r="B19" s="29" t="str">
        <f>'[1]Calculos Indicadores'!C126</f>
        <v>9.1.1.7</v>
      </c>
      <c r="C19" s="29" t="b">
        <f t="shared" si="0"/>
        <v>1</v>
      </c>
      <c r="D19" s="30" t="str">
        <f>Calculos!B125</f>
        <v>Carga de trabajo en I Instancia materia Contravenciones</v>
      </c>
      <c r="E19" s="31" t="s">
        <v>3110</v>
      </c>
      <c r="F19" s="31" t="s">
        <v>3693</v>
      </c>
      <c r="G19" s="31" t="s">
        <v>4075</v>
      </c>
      <c r="H19" s="32" t="s">
        <v>4066</v>
      </c>
      <c r="I19" s="31" t="s">
        <v>4076</v>
      </c>
      <c r="J19" s="28" t="s">
        <v>3973</v>
      </c>
      <c r="K19" s="28" t="s">
        <v>3696</v>
      </c>
      <c r="L19" s="28" t="s">
        <v>4060</v>
      </c>
      <c r="M19" s="28" t="s">
        <v>3698</v>
      </c>
      <c r="N19" s="33" t="s">
        <v>4061</v>
      </c>
      <c r="O19" s="28" t="s">
        <v>3700</v>
      </c>
      <c r="P19" s="28" t="s">
        <v>4018</v>
      </c>
      <c r="Q19" s="29"/>
    </row>
    <row r="20" spans="1:17" ht="25.5" x14ac:dyDescent="0.2">
      <c r="A20" s="28"/>
      <c r="B20" s="29" t="str">
        <f>'[1]Calculos Indicadores'!C127</f>
        <v>9.1.1.8</v>
      </c>
      <c r="C20" s="29" t="b">
        <f t="shared" si="0"/>
        <v>1</v>
      </c>
      <c r="D20" s="30" t="str">
        <f>Calculos!B126</f>
        <v>Carga de trabajo en I Instancia materia Tránsito</v>
      </c>
      <c r="E20" s="34" t="s">
        <v>3111</v>
      </c>
      <c r="F20" s="34" t="s">
        <v>3693</v>
      </c>
      <c r="G20" s="34" t="s">
        <v>4077</v>
      </c>
      <c r="H20" s="32" t="s">
        <v>4066</v>
      </c>
      <c r="I20" s="34" t="s">
        <v>4078</v>
      </c>
      <c r="J20" s="28" t="s">
        <v>3973</v>
      </c>
      <c r="K20" s="28" t="s">
        <v>3696</v>
      </c>
      <c r="L20" s="28" t="s">
        <v>4060</v>
      </c>
      <c r="M20" s="28" t="s">
        <v>3698</v>
      </c>
      <c r="N20" s="33" t="s">
        <v>4061</v>
      </c>
      <c r="O20" s="28" t="s">
        <v>3700</v>
      </c>
      <c r="P20" s="28" t="s">
        <v>4018</v>
      </c>
      <c r="Q20" s="29"/>
    </row>
    <row r="21" spans="1:17" ht="25.5" x14ac:dyDescent="0.2">
      <c r="A21" s="28"/>
      <c r="B21" s="29" t="str">
        <f>'[1]Calculos Indicadores'!C128</f>
        <v>9.1.1.9</v>
      </c>
      <c r="C21" s="29" t="b">
        <f t="shared" si="0"/>
        <v>1</v>
      </c>
      <c r="D21" s="30" t="str">
        <f>Calculos!B127</f>
        <v>Carga de trabajo en I Instancia materia Pensiones alimentarias</v>
      </c>
      <c r="E21" s="31" t="s">
        <v>3112</v>
      </c>
      <c r="F21" s="31" t="s">
        <v>3693</v>
      </c>
      <c r="G21" s="31" t="s">
        <v>4079</v>
      </c>
      <c r="H21" s="32" t="s">
        <v>4066</v>
      </c>
      <c r="I21" s="31" t="s">
        <v>4080</v>
      </c>
      <c r="J21" s="28" t="s">
        <v>3973</v>
      </c>
      <c r="K21" s="28" t="s">
        <v>3696</v>
      </c>
      <c r="L21" s="28" t="s">
        <v>4060</v>
      </c>
      <c r="M21" s="28" t="s">
        <v>3698</v>
      </c>
      <c r="N21" s="33" t="s">
        <v>4061</v>
      </c>
      <c r="O21" s="28" t="s">
        <v>3700</v>
      </c>
      <c r="P21" s="28" t="s">
        <v>4018</v>
      </c>
      <c r="Q21" s="29"/>
    </row>
    <row r="22" spans="1:17" ht="25.5" x14ac:dyDescent="0.2">
      <c r="A22" s="28"/>
      <c r="B22" s="29" t="str">
        <f>'[1]Calculos Indicadores'!C129</f>
        <v>9.1.1.10</v>
      </c>
      <c r="C22" s="29" t="b">
        <f t="shared" si="0"/>
        <v>1</v>
      </c>
      <c r="D22" s="30" t="str">
        <f>Calculos!B128</f>
        <v>Carga de trabajo en I Instancia materia Violencia Doméstica</v>
      </c>
      <c r="E22" s="34" t="s">
        <v>3113</v>
      </c>
      <c r="F22" s="34" t="s">
        <v>3693</v>
      </c>
      <c r="G22" s="34" t="s">
        <v>4081</v>
      </c>
      <c r="H22" s="32" t="s">
        <v>4066</v>
      </c>
      <c r="I22" s="34" t="s">
        <v>4082</v>
      </c>
      <c r="J22" s="28" t="s">
        <v>3973</v>
      </c>
      <c r="K22" s="28" t="s">
        <v>3696</v>
      </c>
      <c r="L22" s="28" t="s">
        <v>4060</v>
      </c>
      <c r="M22" s="28" t="s">
        <v>3698</v>
      </c>
      <c r="N22" s="33" t="s">
        <v>4061</v>
      </c>
      <c r="O22" s="28" t="s">
        <v>3700</v>
      </c>
      <c r="P22" s="28" t="s">
        <v>4018</v>
      </c>
      <c r="Q22" s="29"/>
    </row>
    <row r="23" spans="1:17" ht="25.5" x14ac:dyDescent="0.2">
      <c r="A23" s="28"/>
      <c r="B23" s="29" t="str">
        <f>'[1]Calculos Indicadores'!C130</f>
        <v>9.1.1.11</v>
      </c>
      <c r="C23" s="29" t="b">
        <f t="shared" si="0"/>
        <v>1</v>
      </c>
      <c r="D23" s="30" t="str">
        <f>Calculos!B129</f>
        <v>Carga de trabajo en I Instancia materia Notarial</v>
      </c>
      <c r="E23" s="31" t="s">
        <v>3114</v>
      </c>
      <c r="F23" s="31" t="s">
        <v>3693</v>
      </c>
      <c r="G23" s="31" t="s">
        <v>4083</v>
      </c>
      <c r="H23" s="32" t="s">
        <v>4066</v>
      </c>
      <c r="I23" s="31" t="s">
        <v>4084</v>
      </c>
      <c r="J23" s="28" t="s">
        <v>3973</v>
      </c>
      <c r="K23" s="28" t="s">
        <v>3696</v>
      </c>
      <c r="L23" s="28" t="s">
        <v>4060</v>
      </c>
      <c r="M23" s="28" t="s">
        <v>3698</v>
      </c>
      <c r="N23" s="33" t="s">
        <v>4061</v>
      </c>
      <c r="O23" s="28" t="s">
        <v>3700</v>
      </c>
      <c r="P23" s="28" t="s">
        <v>4018</v>
      </c>
      <c r="Q23" s="29"/>
    </row>
    <row r="24" spans="1:17" ht="25.5" x14ac:dyDescent="0.2">
      <c r="A24" s="28"/>
      <c r="B24" s="29" t="str">
        <f>'[1]Calculos Indicadores'!C131</f>
        <v>9.1.2</v>
      </c>
      <c r="C24" s="29" t="b">
        <f t="shared" si="0"/>
        <v>1</v>
      </c>
      <c r="D24" s="30" t="str">
        <f>Calculos!B130</f>
        <v>Carga de trabajo en I instancia materia penal</v>
      </c>
      <c r="E24" s="34" t="s">
        <v>3115</v>
      </c>
      <c r="F24" s="34" t="s">
        <v>3693</v>
      </c>
      <c r="G24" s="34" t="s">
        <v>4085</v>
      </c>
      <c r="H24" s="32" t="s">
        <v>4086</v>
      </c>
      <c r="I24" s="34" t="s">
        <v>4087</v>
      </c>
      <c r="J24" s="28" t="s">
        <v>3973</v>
      </c>
      <c r="K24" s="28" t="s">
        <v>3696</v>
      </c>
      <c r="L24" s="28" t="s">
        <v>4060</v>
      </c>
      <c r="M24" s="28" t="s">
        <v>3698</v>
      </c>
      <c r="N24" s="33" t="s">
        <v>4061</v>
      </c>
      <c r="O24" s="28" t="s">
        <v>3700</v>
      </c>
      <c r="P24" s="28" t="s">
        <v>4018</v>
      </c>
      <c r="Q24" s="29"/>
    </row>
    <row r="25" spans="1:17" ht="25.5" x14ac:dyDescent="0.2">
      <c r="A25" s="28"/>
      <c r="B25" s="29" t="str">
        <f>'[1]Calculos Indicadores'!C132</f>
        <v>9.1.2.1</v>
      </c>
      <c r="C25" s="29" t="b">
        <f t="shared" si="0"/>
        <v>1</v>
      </c>
      <c r="D25" s="30" t="str">
        <f>Calculos!B131</f>
        <v>Carga de trabajo en I instancia materia penal Tribunales</v>
      </c>
      <c r="E25" s="31" t="s">
        <v>3116</v>
      </c>
      <c r="F25" s="31" t="s">
        <v>3693</v>
      </c>
      <c r="G25" s="31" t="s">
        <v>4088</v>
      </c>
      <c r="H25" s="32" t="s">
        <v>4066</v>
      </c>
      <c r="I25" s="31" t="s">
        <v>4089</v>
      </c>
      <c r="J25" s="28" t="s">
        <v>3973</v>
      </c>
      <c r="K25" s="28" t="s">
        <v>3696</v>
      </c>
      <c r="L25" s="28" t="s">
        <v>4060</v>
      </c>
      <c r="M25" s="28" t="s">
        <v>3698</v>
      </c>
      <c r="N25" s="33" t="s">
        <v>4061</v>
      </c>
      <c r="O25" s="28" t="s">
        <v>3700</v>
      </c>
      <c r="P25" s="28" t="s">
        <v>4018</v>
      </c>
      <c r="Q25" s="29"/>
    </row>
    <row r="26" spans="1:17" ht="25.5" x14ac:dyDescent="0.2">
      <c r="A26" s="28"/>
      <c r="B26" s="29" t="str">
        <f>'[1]Calculos Indicadores'!C133</f>
        <v>9.1.2.2</v>
      </c>
      <c r="C26" s="29" t="b">
        <f t="shared" si="0"/>
        <v>1</v>
      </c>
      <c r="D26" s="30" t="str">
        <f>Calculos!B132</f>
        <v>Carga de trabajo en I instancia materia penal Juzgados</v>
      </c>
      <c r="E26" s="34" t="s">
        <v>3117</v>
      </c>
      <c r="F26" s="34" t="s">
        <v>3693</v>
      </c>
      <c r="G26" s="34" t="s">
        <v>4090</v>
      </c>
      <c r="H26" s="32" t="s">
        <v>4066</v>
      </c>
      <c r="I26" s="34" t="s">
        <v>4091</v>
      </c>
      <c r="J26" s="28" t="s">
        <v>3973</v>
      </c>
      <c r="K26" s="28" t="s">
        <v>3696</v>
      </c>
      <c r="L26" s="28" t="s">
        <v>4060</v>
      </c>
      <c r="M26" s="28" t="s">
        <v>3698</v>
      </c>
      <c r="N26" s="33" t="s">
        <v>4061</v>
      </c>
      <c r="O26" s="28" t="s">
        <v>3700</v>
      </c>
      <c r="P26" s="28" t="s">
        <v>4018</v>
      </c>
      <c r="Q26" s="29"/>
    </row>
    <row r="27" spans="1:17" ht="25.5" x14ac:dyDescent="0.2">
      <c r="A27" s="28"/>
      <c r="B27" s="29" t="str">
        <f>'[1]Calculos Indicadores'!C134</f>
        <v>9.1.2.3</v>
      </c>
      <c r="C27" s="29" t="b">
        <f t="shared" si="0"/>
        <v>1</v>
      </c>
      <c r="D27" s="30" t="str">
        <f>Calculos!B133</f>
        <v>Carga de trabajo en I instancia materia penal Fiscalías</v>
      </c>
      <c r="E27" s="31" t="s">
        <v>3118</v>
      </c>
      <c r="F27" s="31" t="s">
        <v>3693</v>
      </c>
      <c r="G27" s="31" t="s">
        <v>4092</v>
      </c>
      <c r="H27" s="32" t="s">
        <v>4066</v>
      </c>
      <c r="I27" s="31" t="s">
        <v>4093</v>
      </c>
      <c r="J27" s="28" t="s">
        <v>3973</v>
      </c>
      <c r="K27" s="28" t="s">
        <v>3696</v>
      </c>
      <c r="L27" s="28" t="s">
        <v>4060</v>
      </c>
      <c r="M27" s="28" t="s">
        <v>3698</v>
      </c>
      <c r="N27" s="33" t="s">
        <v>4061</v>
      </c>
      <c r="O27" s="28" t="s">
        <v>3700</v>
      </c>
      <c r="P27" s="28" t="s">
        <v>4018</v>
      </c>
      <c r="Q27" s="29"/>
    </row>
    <row r="28" spans="1:17" ht="25.5" x14ac:dyDescent="0.2">
      <c r="A28" s="28"/>
      <c r="B28" s="29" t="str">
        <f>'[1]Calculos Indicadores'!C135</f>
        <v>9.1.3</v>
      </c>
      <c r="C28" s="29" t="b">
        <f t="shared" si="0"/>
        <v>1</v>
      </c>
      <c r="D28" s="30" t="str">
        <f>Calculos!B134</f>
        <v>Carga de trabajo en I instancia materia penal juvenil</v>
      </c>
      <c r="E28" s="34" t="s">
        <v>3119</v>
      </c>
      <c r="F28" s="34" t="s">
        <v>3693</v>
      </c>
      <c r="G28" s="34" t="s">
        <v>4094</v>
      </c>
      <c r="H28" s="32" t="s">
        <v>4095</v>
      </c>
      <c r="I28" s="34" t="s">
        <v>4096</v>
      </c>
      <c r="J28" s="28" t="s">
        <v>3973</v>
      </c>
      <c r="K28" s="28" t="s">
        <v>3696</v>
      </c>
      <c r="L28" s="28" t="s">
        <v>4060</v>
      </c>
      <c r="M28" s="28" t="s">
        <v>3698</v>
      </c>
      <c r="N28" s="33" t="s">
        <v>4061</v>
      </c>
      <c r="O28" s="28" t="s">
        <v>3700</v>
      </c>
      <c r="P28" s="28" t="s">
        <v>4018</v>
      </c>
      <c r="Q28" s="29"/>
    </row>
    <row r="29" spans="1:17" ht="25.5" x14ac:dyDescent="0.2">
      <c r="A29" s="28"/>
      <c r="B29" s="29" t="str">
        <f>'[1]Calculos Indicadores'!C136</f>
        <v>9.1.3.1</v>
      </c>
      <c r="C29" s="29" t="b">
        <f t="shared" si="0"/>
        <v>1</v>
      </c>
      <c r="D29" s="30" t="str">
        <f>Calculos!B135</f>
        <v>Carga de trabajo en I instancia materia penal juvenil Juzgados</v>
      </c>
      <c r="E29" s="31" t="s">
        <v>3120</v>
      </c>
      <c r="F29" s="31" t="s">
        <v>3693</v>
      </c>
      <c r="G29" s="31" t="s">
        <v>4097</v>
      </c>
      <c r="H29" s="32" t="s">
        <v>4066</v>
      </c>
      <c r="I29" s="31" t="s">
        <v>4098</v>
      </c>
      <c r="J29" s="28" t="s">
        <v>3973</v>
      </c>
      <c r="K29" s="28" t="s">
        <v>3696</v>
      </c>
      <c r="L29" s="28" t="s">
        <v>4060</v>
      </c>
      <c r="M29" s="28" t="s">
        <v>3698</v>
      </c>
      <c r="N29" s="33" t="s">
        <v>4061</v>
      </c>
      <c r="O29" s="28" t="s">
        <v>3700</v>
      </c>
      <c r="P29" s="28" t="s">
        <v>4018</v>
      </c>
      <c r="Q29" s="29"/>
    </row>
    <row r="30" spans="1:17" ht="25.5" x14ac:dyDescent="0.2">
      <c r="A30" s="28"/>
      <c r="B30" s="29" t="str">
        <f>'[1]Calculos Indicadores'!C137</f>
        <v>9.1.3.2</v>
      </c>
      <c r="C30" s="29" t="b">
        <f t="shared" si="0"/>
        <v>1</v>
      </c>
      <c r="D30" s="30" t="str">
        <f>Calculos!B136</f>
        <v>Carga de trabajo en I instancia materia penal juvenil Fiscalías</v>
      </c>
      <c r="E30" s="34" t="s">
        <v>3121</v>
      </c>
      <c r="F30" s="34" t="s">
        <v>3693</v>
      </c>
      <c r="G30" s="34" t="s">
        <v>4099</v>
      </c>
      <c r="H30" s="32" t="s">
        <v>4066</v>
      </c>
      <c r="I30" s="34" t="s">
        <v>4100</v>
      </c>
      <c r="J30" s="28" t="s">
        <v>3973</v>
      </c>
      <c r="K30" s="28" t="s">
        <v>3696</v>
      </c>
      <c r="L30" s="28" t="s">
        <v>4060</v>
      </c>
      <c r="M30" s="28" t="s">
        <v>3698</v>
      </c>
      <c r="N30" s="33" t="s">
        <v>4061</v>
      </c>
      <c r="O30" s="28" t="s">
        <v>3700</v>
      </c>
      <c r="P30" s="28" t="s">
        <v>4018</v>
      </c>
      <c r="Q30" s="29"/>
    </row>
    <row r="31" spans="1:17" ht="25.5" x14ac:dyDescent="0.2">
      <c r="A31" s="28"/>
      <c r="B31" s="29" t="str">
        <f>'[1]Calculos Indicadores'!C138</f>
        <v>9.1.4</v>
      </c>
      <c r="C31" s="29" t="b">
        <f t="shared" si="0"/>
        <v>1</v>
      </c>
      <c r="D31" s="30" t="str">
        <f>Calculos!B137</f>
        <v>Carga de trabajo en única instancia</v>
      </c>
      <c r="E31" s="31" t="s">
        <v>3122</v>
      </c>
      <c r="F31" s="31" t="s">
        <v>3693</v>
      </c>
      <c r="G31" s="31" t="s">
        <v>4101</v>
      </c>
      <c r="H31" s="32" t="s">
        <v>4102</v>
      </c>
      <c r="I31" s="31" t="s">
        <v>4103</v>
      </c>
      <c r="J31" s="28" t="s">
        <v>3973</v>
      </c>
      <c r="K31" s="28" t="s">
        <v>3696</v>
      </c>
      <c r="L31" s="28" t="s">
        <v>4060</v>
      </c>
      <c r="M31" s="28" t="s">
        <v>3698</v>
      </c>
      <c r="N31" s="33" t="s">
        <v>4061</v>
      </c>
      <c r="O31" s="28" t="s">
        <v>3700</v>
      </c>
      <c r="P31" s="28" t="s">
        <v>4018</v>
      </c>
      <c r="Q31" s="29"/>
    </row>
    <row r="32" spans="1:17" ht="25.5" x14ac:dyDescent="0.2">
      <c r="A32" s="28"/>
      <c r="B32" s="29" t="str">
        <f>'[1]Calculos Indicadores'!C140</f>
        <v>9.1.5</v>
      </c>
      <c r="C32" s="29" t="b">
        <f t="shared" si="0"/>
        <v>1</v>
      </c>
      <c r="D32" s="30" t="str">
        <f>Calculos!B138</f>
        <v>Carga de trabajo en II Instancia</v>
      </c>
      <c r="E32" s="34" t="s">
        <v>3123</v>
      </c>
      <c r="F32" s="34" t="s">
        <v>3693</v>
      </c>
      <c r="G32" s="34" t="s">
        <v>4104</v>
      </c>
      <c r="H32" s="32" t="s">
        <v>4105</v>
      </c>
      <c r="I32" s="34" t="s">
        <v>4106</v>
      </c>
      <c r="J32" s="28" t="s">
        <v>3973</v>
      </c>
      <c r="K32" s="28" t="s">
        <v>3696</v>
      </c>
      <c r="L32" s="28" t="s">
        <v>4107</v>
      </c>
      <c r="M32" s="28" t="s">
        <v>3698</v>
      </c>
      <c r="N32" s="33" t="s">
        <v>4061</v>
      </c>
      <c r="O32" s="28" t="s">
        <v>3700</v>
      </c>
      <c r="P32" s="28" t="s">
        <v>4018</v>
      </c>
      <c r="Q32" s="29"/>
    </row>
    <row r="33" spans="1:17" ht="25.5" x14ac:dyDescent="0.2">
      <c r="A33" s="28"/>
      <c r="B33" s="29" t="str">
        <f>'[1]Calculos Indicadores'!C141</f>
        <v>9.1.5.1</v>
      </c>
      <c r="C33" s="29" t="b">
        <f t="shared" si="0"/>
        <v>1</v>
      </c>
      <c r="D33" s="30" t="str">
        <f>Calculos!B139</f>
        <v>Carga de trabajo en II Instancia Trib. De Apelación Penal</v>
      </c>
      <c r="E33" s="31" t="s">
        <v>3124</v>
      </c>
      <c r="F33" s="31" t="s">
        <v>3693</v>
      </c>
      <c r="G33" s="31" t="s">
        <v>4108</v>
      </c>
      <c r="H33" s="32" t="s">
        <v>4102</v>
      </c>
      <c r="I33" s="31" t="s">
        <v>4109</v>
      </c>
      <c r="J33" s="28" t="s">
        <v>3973</v>
      </c>
      <c r="K33" s="28" t="s">
        <v>3696</v>
      </c>
      <c r="L33" s="28" t="s">
        <v>4107</v>
      </c>
      <c r="M33" s="28" t="s">
        <v>3698</v>
      </c>
      <c r="N33" s="33" t="s">
        <v>4061</v>
      </c>
      <c r="O33" s="28" t="s">
        <v>3740</v>
      </c>
      <c r="P33" s="28" t="s">
        <v>4018</v>
      </c>
      <c r="Q33" s="29"/>
    </row>
    <row r="34" spans="1:17" ht="25.5" x14ac:dyDescent="0.2">
      <c r="A34" s="28"/>
      <c r="B34" s="29" t="str">
        <f>'[1]Calculos Indicadores'!C142</f>
        <v>9.1.5.2</v>
      </c>
      <c r="C34" s="29" t="b">
        <f t="shared" si="0"/>
        <v>1</v>
      </c>
      <c r="D34" s="30" t="str">
        <f>Calculos!B140</f>
        <v>Carga de trabajo en II Instancia Trib. De Apelación PJ</v>
      </c>
      <c r="E34" s="34" t="s">
        <v>3125</v>
      </c>
      <c r="F34" s="34" t="s">
        <v>3693</v>
      </c>
      <c r="G34" s="34" t="s">
        <v>4110</v>
      </c>
      <c r="H34" s="32" t="s">
        <v>4102</v>
      </c>
      <c r="I34" s="34" t="s">
        <v>4111</v>
      </c>
      <c r="J34" s="28" t="s">
        <v>3973</v>
      </c>
      <c r="K34" s="28" t="s">
        <v>3696</v>
      </c>
      <c r="L34" s="28" t="s">
        <v>4107</v>
      </c>
      <c r="M34" s="28" t="s">
        <v>3698</v>
      </c>
      <c r="N34" s="33" t="s">
        <v>4061</v>
      </c>
      <c r="O34" s="28" t="s">
        <v>3740</v>
      </c>
      <c r="P34" s="28" t="s">
        <v>4018</v>
      </c>
      <c r="Q34" s="29"/>
    </row>
    <row r="35" spans="1:17" ht="25.5" x14ac:dyDescent="0.2">
      <c r="A35" s="28"/>
      <c r="B35" s="29" t="str">
        <f>'[1]Calculos Indicadores'!C143</f>
        <v>9.1.5.3</v>
      </c>
      <c r="C35" s="29" t="b">
        <f t="shared" si="0"/>
        <v>1</v>
      </c>
      <c r="D35" s="30" t="str">
        <f>Calculos!B141</f>
        <v>Carga de trabajo en II Instancia Trib. Civiles</v>
      </c>
      <c r="E35" s="31" t="s">
        <v>3126</v>
      </c>
      <c r="F35" s="31" t="s">
        <v>3693</v>
      </c>
      <c r="G35" s="31" t="s">
        <v>4112</v>
      </c>
      <c r="H35" s="32" t="s">
        <v>4102</v>
      </c>
      <c r="I35" s="31" t="s">
        <v>4113</v>
      </c>
      <c r="J35" s="28" t="s">
        <v>3973</v>
      </c>
      <c r="K35" s="28" t="s">
        <v>3696</v>
      </c>
      <c r="L35" s="28" t="s">
        <v>4107</v>
      </c>
      <c r="M35" s="28" t="s">
        <v>3698</v>
      </c>
      <c r="N35" s="33" t="s">
        <v>4061</v>
      </c>
      <c r="O35" s="28" t="s">
        <v>3700</v>
      </c>
      <c r="P35" s="28" t="s">
        <v>4018</v>
      </c>
      <c r="Q35" s="29"/>
    </row>
    <row r="36" spans="1:17" ht="25.5" x14ac:dyDescent="0.2">
      <c r="A36" s="28"/>
      <c r="B36" s="29" t="str">
        <f>'[1]Calculos Indicadores'!C144</f>
        <v>9.1.5.4</v>
      </c>
      <c r="C36" s="29" t="b">
        <f t="shared" si="0"/>
        <v>1</v>
      </c>
      <c r="D36" s="30" t="str">
        <f>Calculos!B142</f>
        <v>Carga de trabajo en II Instancia Trib. Laborales</v>
      </c>
      <c r="E36" s="34" t="s">
        <v>3127</v>
      </c>
      <c r="F36" s="34" t="s">
        <v>3693</v>
      </c>
      <c r="G36" s="34" t="s">
        <v>4114</v>
      </c>
      <c r="H36" s="32" t="s">
        <v>4102</v>
      </c>
      <c r="I36" s="34" t="s">
        <v>4115</v>
      </c>
      <c r="J36" s="28" t="s">
        <v>3973</v>
      </c>
      <c r="K36" s="28" t="s">
        <v>3696</v>
      </c>
      <c r="L36" s="28" t="s">
        <v>4107</v>
      </c>
      <c r="M36" s="28" t="s">
        <v>3698</v>
      </c>
      <c r="N36" s="33" t="s">
        <v>4061</v>
      </c>
      <c r="O36" s="28" t="s">
        <v>3700</v>
      </c>
      <c r="P36" s="28" t="s">
        <v>4018</v>
      </c>
      <c r="Q36" s="29"/>
    </row>
    <row r="37" spans="1:17" ht="25.5" x14ac:dyDescent="0.2">
      <c r="A37" s="28"/>
      <c r="B37" s="29" t="str">
        <f>'[1]Calculos Indicadores'!C145</f>
        <v>9.1.5.5</v>
      </c>
      <c r="C37" s="29" t="b">
        <f t="shared" si="0"/>
        <v>1</v>
      </c>
      <c r="D37" s="30" t="str">
        <f>Calculos!B143</f>
        <v>Carga de trabajo en II Instancia Trib Cont. Adm.</v>
      </c>
      <c r="E37" s="31" t="s">
        <v>3128</v>
      </c>
      <c r="F37" s="31" t="s">
        <v>3693</v>
      </c>
      <c r="G37" s="31" t="s">
        <v>4116</v>
      </c>
      <c r="H37" s="32" t="s">
        <v>4102</v>
      </c>
      <c r="I37" s="31" t="s">
        <v>4117</v>
      </c>
      <c r="J37" s="28" t="s">
        <v>3973</v>
      </c>
      <c r="K37" s="28" t="s">
        <v>3696</v>
      </c>
      <c r="L37" s="28" t="s">
        <v>4107</v>
      </c>
      <c r="M37" s="28" t="s">
        <v>3698</v>
      </c>
      <c r="N37" s="33" t="s">
        <v>4061</v>
      </c>
      <c r="O37" s="28" t="s">
        <v>3700</v>
      </c>
      <c r="P37" s="28" t="s">
        <v>4018</v>
      </c>
      <c r="Q37" s="29"/>
    </row>
    <row r="38" spans="1:17" ht="25.5" x14ac:dyDescent="0.2">
      <c r="A38" s="28"/>
      <c r="B38" s="29" t="str">
        <f>'[1]Calculos Indicadores'!C146</f>
        <v>9.1.5.6</v>
      </c>
      <c r="C38" s="29" t="b">
        <f t="shared" si="0"/>
        <v>1</v>
      </c>
      <c r="D38" s="30" t="str">
        <f>Calculos!B144</f>
        <v>Carga de trabajo en II Instancia Trib. De Apelación Cont. Adm.</v>
      </c>
      <c r="E38" s="34" t="s">
        <v>3129</v>
      </c>
      <c r="F38" s="34" t="s">
        <v>3693</v>
      </c>
      <c r="G38" s="34" t="s">
        <v>4118</v>
      </c>
      <c r="H38" s="32" t="s">
        <v>4102</v>
      </c>
      <c r="I38" s="34" t="s">
        <v>4119</v>
      </c>
      <c r="J38" s="28" t="s">
        <v>3973</v>
      </c>
      <c r="K38" s="28" t="s">
        <v>3696</v>
      </c>
      <c r="L38" s="28" t="s">
        <v>4107</v>
      </c>
      <c r="M38" s="28" t="s">
        <v>3698</v>
      </c>
      <c r="N38" s="33" t="s">
        <v>4061</v>
      </c>
      <c r="O38" s="28" t="s">
        <v>4064</v>
      </c>
      <c r="P38" s="28" t="s">
        <v>4018</v>
      </c>
      <c r="Q38" s="29"/>
    </row>
    <row r="39" spans="1:17" ht="25.5" x14ac:dyDescent="0.2">
      <c r="A39" s="28"/>
      <c r="B39" s="29" t="str">
        <f>'[1]Calculos Indicadores'!C147</f>
        <v>9.1.5.7</v>
      </c>
      <c r="C39" s="29" t="b">
        <f t="shared" si="0"/>
        <v>1</v>
      </c>
      <c r="D39" s="30" t="str">
        <f>Calculos!B145</f>
        <v>Carga de trabajo en II Instancia Trib Agrario</v>
      </c>
      <c r="E39" s="31" t="s">
        <v>3130</v>
      </c>
      <c r="F39" s="31" t="s">
        <v>3693</v>
      </c>
      <c r="G39" s="31" t="s">
        <v>4120</v>
      </c>
      <c r="H39" s="32" t="s">
        <v>4102</v>
      </c>
      <c r="I39" s="31" t="s">
        <v>4121</v>
      </c>
      <c r="J39" s="28" t="s">
        <v>3973</v>
      </c>
      <c r="K39" s="28" t="s">
        <v>3696</v>
      </c>
      <c r="L39" s="28" t="s">
        <v>4107</v>
      </c>
      <c r="M39" s="28" t="s">
        <v>3698</v>
      </c>
      <c r="N39" s="33" t="s">
        <v>4061</v>
      </c>
      <c r="O39" s="28" t="s">
        <v>3700</v>
      </c>
      <c r="P39" s="28" t="s">
        <v>4018</v>
      </c>
      <c r="Q39" s="29"/>
    </row>
    <row r="40" spans="1:17" ht="25.5" x14ac:dyDescent="0.2">
      <c r="A40" s="28"/>
      <c r="B40" s="29" t="str">
        <f>'[1]Calculos Indicadores'!C148</f>
        <v>9.1.5.8</v>
      </c>
      <c r="C40" s="29" t="b">
        <f t="shared" si="0"/>
        <v>1</v>
      </c>
      <c r="D40" s="30" t="str">
        <f>Calculos!B146</f>
        <v>Carga de trabajo en II Instancia Trib Familia</v>
      </c>
      <c r="E40" s="34" t="s">
        <v>3131</v>
      </c>
      <c r="F40" s="34" t="s">
        <v>3693</v>
      </c>
      <c r="G40" s="34" t="s">
        <v>4122</v>
      </c>
      <c r="H40" s="32" t="s">
        <v>4102</v>
      </c>
      <c r="I40" s="34" t="s">
        <v>4123</v>
      </c>
      <c r="J40" s="28" t="s">
        <v>3973</v>
      </c>
      <c r="K40" s="28" t="s">
        <v>3696</v>
      </c>
      <c r="L40" s="28" t="s">
        <v>4107</v>
      </c>
      <c r="M40" s="28" t="s">
        <v>3698</v>
      </c>
      <c r="N40" s="33" t="s">
        <v>4061</v>
      </c>
      <c r="O40" s="28" t="s">
        <v>3700</v>
      </c>
      <c r="P40" s="28" t="s">
        <v>4018</v>
      </c>
      <c r="Q40" s="29"/>
    </row>
    <row r="41" spans="1:17" ht="25.5" x14ac:dyDescent="0.2">
      <c r="A41" s="28"/>
      <c r="B41" s="29" t="str">
        <f>'[1]Calculos Indicadores'!C149</f>
        <v>9.1.5.9</v>
      </c>
      <c r="C41" s="29" t="b">
        <f t="shared" si="0"/>
        <v>1</v>
      </c>
      <c r="D41" s="30" t="str">
        <f>Calculos!B147</f>
        <v>Carga de trabajo en II Instancia Trib. PJ</v>
      </c>
      <c r="E41" s="31" t="s">
        <v>3132</v>
      </c>
      <c r="F41" s="31" t="s">
        <v>3693</v>
      </c>
      <c r="G41" s="31" t="s">
        <v>4124</v>
      </c>
      <c r="H41" s="32" t="s">
        <v>4102</v>
      </c>
      <c r="I41" s="31" t="s">
        <v>4125</v>
      </c>
      <c r="J41" s="28" t="s">
        <v>3973</v>
      </c>
      <c r="K41" s="28" t="s">
        <v>3696</v>
      </c>
      <c r="L41" s="28" t="s">
        <v>4107</v>
      </c>
      <c r="M41" s="28" t="s">
        <v>3698</v>
      </c>
      <c r="N41" s="33" t="s">
        <v>4061</v>
      </c>
      <c r="O41" s="28" t="s">
        <v>3700</v>
      </c>
      <c r="P41" s="28" t="s">
        <v>4018</v>
      </c>
      <c r="Q41" s="29"/>
    </row>
    <row r="42" spans="1:17" ht="25.5" x14ac:dyDescent="0.2">
      <c r="A42" s="28"/>
      <c r="B42" s="29" t="str">
        <f>'[1]Calculos Indicadores'!C150</f>
        <v>9.1.5.10</v>
      </c>
      <c r="C42" s="29" t="b">
        <f t="shared" si="0"/>
        <v>1</v>
      </c>
      <c r="D42" s="30" t="str">
        <f>Calculos!B148</f>
        <v>Carga de trabajo en II Instancia Trib. Notariado</v>
      </c>
      <c r="E42" s="34" t="s">
        <v>3133</v>
      </c>
      <c r="F42" s="34" t="s">
        <v>3693</v>
      </c>
      <c r="G42" s="34" t="s">
        <v>4126</v>
      </c>
      <c r="H42" s="32" t="s">
        <v>4102</v>
      </c>
      <c r="I42" s="34" t="s">
        <v>4127</v>
      </c>
      <c r="J42" s="28" t="s">
        <v>3973</v>
      </c>
      <c r="K42" s="28" t="s">
        <v>3696</v>
      </c>
      <c r="L42" s="28" t="s">
        <v>4107</v>
      </c>
      <c r="M42" s="28" t="s">
        <v>3698</v>
      </c>
      <c r="N42" s="33" t="s">
        <v>4061</v>
      </c>
      <c r="O42" s="28" t="s">
        <v>3700</v>
      </c>
      <c r="P42" s="28" t="s">
        <v>4018</v>
      </c>
      <c r="Q42" s="29"/>
    </row>
    <row r="43" spans="1:17" ht="25.5" x14ac:dyDescent="0.2">
      <c r="A43" s="28"/>
      <c r="B43" s="29" t="str">
        <f>'[1]Calculos Indicadores'!C151</f>
        <v>9.1.5.11</v>
      </c>
      <c r="C43" s="29" t="b">
        <f t="shared" si="0"/>
        <v>1</v>
      </c>
      <c r="D43" s="30" t="str">
        <f>Calculos!B149</f>
        <v>Carga de trabajo en II Instancia Dir Nacional de Notariado</v>
      </c>
      <c r="E43" s="31" t="s">
        <v>3134</v>
      </c>
      <c r="F43" s="31" t="s">
        <v>3693</v>
      </c>
      <c r="G43" s="31" t="s">
        <v>4128</v>
      </c>
      <c r="H43" s="32" t="s">
        <v>4102</v>
      </c>
      <c r="I43" s="31" t="s">
        <v>4129</v>
      </c>
      <c r="J43" s="28" t="s">
        <v>3973</v>
      </c>
      <c r="K43" s="28" t="s">
        <v>3696</v>
      </c>
      <c r="L43" s="28" t="s">
        <v>4107</v>
      </c>
      <c r="M43" s="28" t="s">
        <v>3698</v>
      </c>
      <c r="N43" s="33" t="s">
        <v>4061</v>
      </c>
      <c r="O43" s="28" t="s">
        <v>3700</v>
      </c>
      <c r="P43" s="28" t="s">
        <v>4018</v>
      </c>
      <c r="Q43" s="29"/>
    </row>
    <row r="44" spans="1:17" ht="25.5" x14ac:dyDescent="0.2">
      <c r="A44" s="28"/>
      <c r="B44" s="29" t="str">
        <f>'[1]Calculos Indicadores'!C152</f>
        <v>9.1.6</v>
      </c>
      <c r="C44" s="29" t="b">
        <f t="shared" si="0"/>
        <v>1</v>
      </c>
      <c r="D44" s="30" t="str">
        <f>Calculos!B150</f>
        <v>Carga de trabajo en Casación</v>
      </c>
      <c r="E44" s="34" t="s">
        <v>3135</v>
      </c>
      <c r="F44" s="34" t="s">
        <v>3693</v>
      </c>
      <c r="G44" s="34" t="s">
        <v>4130</v>
      </c>
      <c r="H44" s="32" t="s">
        <v>4131</v>
      </c>
      <c r="I44" s="34" t="s">
        <v>4132</v>
      </c>
      <c r="J44" s="28" t="s">
        <v>3973</v>
      </c>
      <c r="K44" s="28" t="s">
        <v>3696</v>
      </c>
      <c r="L44" s="28" t="s">
        <v>3873</v>
      </c>
      <c r="M44" s="28" t="s">
        <v>3698</v>
      </c>
      <c r="N44" s="33" t="s">
        <v>4061</v>
      </c>
      <c r="O44" s="28" t="s">
        <v>3700</v>
      </c>
      <c r="P44" s="28" t="s">
        <v>4018</v>
      </c>
      <c r="Q44" s="29"/>
    </row>
    <row r="45" spans="1:17" ht="25.5" x14ac:dyDescent="0.2">
      <c r="A45" s="28"/>
      <c r="B45" s="29" t="str">
        <f>'[1]Calculos Indicadores'!C153</f>
        <v>9.1.6.1</v>
      </c>
      <c r="C45" s="29" t="b">
        <f t="shared" si="0"/>
        <v>1</v>
      </c>
      <c r="D45" s="30" t="str">
        <f>Calculos!B151</f>
        <v>Carga de trabajo en Sala I</v>
      </c>
      <c r="E45" s="31" t="s">
        <v>3136</v>
      </c>
      <c r="F45" s="31" t="s">
        <v>3693</v>
      </c>
      <c r="G45" s="31" t="s">
        <v>4133</v>
      </c>
      <c r="H45" s="32" t="s">
        <v>4102</v>
      </c>
      <c r="I45" s="31" t="s">
        <v>4134</v>
      </c>
      <c r="J45" s="28" t="s">
        <v>3973</v>
      </c>
      <c r="K45" s="28" t="s">
        <v>3696</v>
      </c>
      <c r="L45" s="28" t="s">
        <v>4107</v>
      </c>
      <c r="M45" s="28" t="s">
        <v>3698</v>
      </c>
      <c r="N45" s="33" t="s">
        <v>4061</v>
      </c>
      <c r="O45" s="28" t="s">
        <v>3700</v>
      </c>
      <c r="P45" s="28" t="s">
        <v>4018</v>
      </c>
      <c r="Q45" s="29"/>
    </row>
    <row r="46" spans="1:17" ht="25.5" x14ac:dyDescent="0.2">
      <c r="A46" s="28"/>
      <c r="B46" s="29" t="str">
        <f>'[1]Calculos Indicadores'!C154</f>
        <v>9.1.6.2</v>
      </c>
      <c r="C46" s="29" t="b">
        <f t="shared" si="0"/>
        <v>1</v>
      </c>
      <c r="D46" s="30" t="str">
        <f>Calculos!B152</f>
        <v>Carga de trabajo en Sala I, en Trib. De Casación de lo Cont. Adm.</v>
      </c>
      <c r="E46" s="34" t="s">
        <v>3137</v>
      </c>
      <c r="F46" s="34" t="s">
        <v>3693</v>
      </c>
      <c r="G46" s="34" t="s">
        <v>4135</v>
      </c>
      <c r="H46" s="32" t="s">
        <v>4102</v>
      </c>
      <c r="I46" s="34" t="s">
        <v>4136</v>
      </c>
      <c r="J46" s="28" t="s">
        <v>3973</v>
      </c>
      <c r="K46" s="28" t="s">
        <v>3696</v>
      </c>
      <c r="L46" s="28" t="s">
        <v>4107</v>
      </c>
      <c r="M46" s="28" t="s">
        <v>3698</v>
      </c>
      <c r="N46" s="33" t="s">
        <v>4061</v>
      </c>
      <c r="O46" s="28" t="s">
        <v>4137</v>
      </c>
      <c r="P46" s="28" t="s">
        <v>4018</v>
      </c>
      <c r="Q46" s="29"/>
    </row>
    <row r="47" spans="1:17" ht="25.5" x14ac:dyDescent="0.2">
      <c r="A47" s="28"/>
      <c r="B47" s="29" t="str">
        <f>'[1]Calculos Indicadores'!C155</f>
        <v>9.1.6.3</v>
      </c>
      <c r="C47" s="29" t="b">
        <f t="shared" si="0"/>
        <v>1</v>
      </c>
      <c r="D47" s="30" t="str">
        <f>Calculos!B153</f>
        <v>Carga de trabajo en Sala II</v>
      </c>
      <c r="E47" s="31" t="s">
        <v>3138</v>
      </c>
      <c r="F47" s="31" t="s">
        <v>3693</v>
      </c>
      <c r="G47" s="31" t="s">
        <v>4138</v>
      </c>
      <c r="H47" s="32" t="s">
        <v>4102</v>
      </c>
      <c r="I47" s="31" t="s">
        <v>4139</v>
      </c>
      <c r="J47" s="28" t="s">
        <v>3973</v>
      </c>
      <c r="K47" s="28" t="s">
        <v>3696</v>
      </c>
      <c r="L47" s="28" t="s">
        <v>4107</v>
      </c>
      <c r="M47" s="28" t="s">
        <v>3698</v>
      </c>
      <c r="N47" s="33" t="s">
        <v>4061</v>
      </c>
      <c r="O47" s="28" t="s">
        <v>3700</v>
      </c>
      <c r="P47" s="28" t="s">
        <v>4018</v>
      </c>
      <c r="Q47" s="29"/>
    </row>
    <row r="48" spans="1:17" ht="25.5" x14ac:dyDescent="0.2">
      <c r="A48" s="28"/>
      <c r="B48" s="29" t="str">
        <f>'[1]Calculos Indicadores'!C156</f>
        <v>9.1.6.4</v>
      </c>
      <c r="C48" s="29" t="b">
        <f t="shared" si="0"/>
        <v>1</v>
      </c>
      <c r="D48" s="30" t="str">
        <f>Calculos!B154</f>
        <v>Carga de trabajo en Sala III</v>
      </c>
      <c r="E48" s="34" t="s">
        <v>3139</v>
      </c>
      <c r="F48" s="34" t="s">
        <v>3693</v>
      </c>
      <c r="G48" s="34" t="s">
        <v>4140</v>
      </c>
      <c r="H48" s="32" t="s">
        <v>4102</v>
      </c>
      <c r="I48" s="34" t="s">
        <v>4141</v>
      </c>
      <c r="J48" s="28" t="s">
        <v>3973</v>
      </c>
      <c r="K48" s="28" t="s">
        <v>3696</v>
      </c>
      <c r="L48" s="28" t="s">
        <v>4107</v>
      </c>
      <c r="M48" s="28" t="s">
        <v>3698</v>
      </c>
      <c r="N48" s="33" t="s">
        <v>4061</v>
      </c>
      <c r="O48" s="28" t="s">
        <v>3700</v>
      </c>
      <c r="P48" s="28" t="s">
        <v>4018</v>
      </c>
      <c r="Q48" s="29"/>
    </row>
    <row r="49" spans="1:17" ht="25.5" x14ac:dyDescent="0.2">
      <c r="A49" s="28"/>
      <c r="B49" s="29" t="str">
        <f>'[1]Calculos Indicadores'!C157</f>
        <v>9.1.6.5</v>
      </c>
      <c r="C49" s="29" t="b">
        <f t="shared" si="0"/>
        <v>1</v>
      </c>
      <c r="D49" s="30" t="str">
        <f>Calculos!B155</f>
        <v>Carga de trabajo en Sala III PJ</v>
      </c>
      <c r="E49" s="31" t="s">
        <v>3140</v>
      </c>
      <c r="F49" s="31" t="s">
        <v>3693</v>
      </c>
      <c r="G49" s="31" t="s">
        <v>4142</v>
      </c>
      <c r="H49" s="32" t="s">
        <v>4102</v>
      </c>
      <c r="I49" s="31" t="s">
        <v>4143</v>
      </c>
      <c r="J49" s="28" t="s">
        <v>3973</v>
      </c>
      <c r="K49" s="28" t="s">
        <v>3696</v>
      </c>
      <c r="L49" s="28" t="s">
        <v>4107</v>
      </c>
      <c r="M49" s="28" t="s">
        <v>3698</v>
      </c>
      <c r="N49" s="33" t="s">
        <v>4061</v>
      </c>
      <c r="O49" s="28" t="s">
        <v>3740</v>
      </c>
      <c r="P49" s="28" t="s">
        <v>4018</v>
      </c>
      <c r="Q49" s="29"/>
    </row>
    <row r="50" spans="1:17" ht="25.5" x14ac:dyDescent="0.2">
      <c r="A50" s="28"/>
      <c r="B50" s="29" t="str">
        <f>'[1]Calculos Indicadores'!C158</f>
        <v>9.1.6.6</v>
      </c>
      <c r="C50" s="29" t="b">
        <f t="shared" si="0"/>
        <v>1</v>
      </c>
      <c r="D50" s="30" t="str">
        <f>Calculos!B156</f>
        <v>Carga de trabajo en Trib. Casación Penal</v>
      </c>
      <c r="E50" s="34" t="s">
        <v>3141</v>
      </c>
      <c r="F50" s="34" t="s">
        <v>3693</v>
      </c>
      <c r="G50" s="34" t="s">
        <v>4144</v>
      </c>
      <c r="H50" s="32" t="s">
        <v>4102</v>
      </c>
      <c r="I50" s="34" t="s">
        <v>4145</v>
      </c>
      <c r="J50" s="28" t="s">
        <v>3973</v>
      </c>
      <c r="K50" s="28" t="s">
        <v>3696</v>
      </c>
      <c r="L50" s="28" t="s">
        <v>4107</v>
      </c>
      <c r="M50" s="28" t="s">
        <v>3698</v>
      </c>
      <c r="N50" s="33" t="s">
        <v>4061</v>
      </c>
      <c r="O50" s="28" t="s">
        <v>3700</v>
      </c>
      <c r="P50" s="28" t="s">
        <v>4018</v>
      </c>
      <c r="Q50" s="29"/>
    </row>
    <row r="51" spans="1:17" ht="25.5" x14ac:dyDescent="0.2">
      <c r="A51" s="28"/>
      <c r="B51" s="29" t="str">
        <f>'[1]Calculos Indicadores'!C159</f>
        <v>9.1.6.7</v>
      </c>
      <c r="C51" s="29" t="b">
        <f t="shared" si="0"/>
        <v>1</v>
      </c>
      <c r="D51" s="30" t="str">
        <f>Calculos!B157</f>
        <v>Carga de trabajo en Trib. Casación PJ</v>
      </c>
      <c r="E51" s="31" t="s">
        <v>3142</v>
      </c>
      <c r="F51" s="31" t="s">
        <v>3693</v>
      </c>
      <c r="G51" s="31" t="s">
        <v>4146</v>
      </c>
      <c r="H51" s="32" t="s">
        <v>4102</v>
      </c>
      <c r="I51" s="31" t="s">
        <v>4147</v>
      </c>
      <c r="J51" s="28" t="s">
        <v>3973</v>
      </c>
      <c r="K51" s="28" t="s">
        <v>3696</v>
      </c>
      <c r="L51" s="28" t="s">
        <v>4107</v>
      </c>
      <c r="M51" s="28" t="s">
        <v>3698</v>
      </c>
      <c r="N51" s="33" t="s">
        <v>4061</v>
      </c>
      <c r="O51" s="28" t="s">
        <v>3700</v>
      </c>
      <c r="P51" s="28" t="s">
        <v>4018</v>
      </c>
      <c r="Q51" s="29"/>
    </row>
    <row r="52" spans="1:17" ht="25.5" x14ac:dyDescent="0.2">
      <c r="A52" s="28"/>
      <c r="B52" s="29"/>
      <c r="C52" s="29" t="b">
        <f t="shared" ref="C52" si="2">D52=E52</f>
        <v>1</v>
      </c>
      <c r="D52" s="30" t="str">
        <f>Calculos!B158</f>
        <v>Carga de trabajo en el programa de Justicia Restaurativa</v>
      </c>
      <c r="E52" s="34" t="s">
        <v>3143</v>
      </c>
      <c r="F52" s="34" t="s">
        <v>3693</v>
      </c>
      <c r="G52" s="34" t="s">
        <v>4148</v>
      </c>
      <c r="H52" s="32" t="s">
        <v>4102</v>
      </c>
      <c r="I52" s="34" t="s">
        <v>4149</v>
      </c>
      <c r="J52" s="28" t="s">
        <v>3973</v>
      </c>
      <c r="K52" s="28" t="s">
        <v>3696</v>
      </c>
      <c r="L52" s="28" t="s">
        <v>3873</v>
      </c>
      <c r="M52" s="28" t="s">
        <v>3698</v>
      </c>
      <c r="N52" s="33" t="s">
        <v>4061</v>
      </c>
      <c r="O52" s="28" t="s">
        <v>3740</v>
      </c>
      <c r="P52" s="28" t="s">
        <v>4018</v>
      </c>
      <c r="Q52" s="29"/>
    </row>
    <row r="53" spans="1:17" ht="25.5" x14ac:dyDescent="0.2">
      <c r="A53" s="28"/>
      <c r="B53" s="29">
        <f>'[1]Calculos Indicadores'!C160</f>
        <v>9.1999999999999993</v>
      </c>
      <c r="C53" s="29" t="b">
        <f t="shared" si="0"/>
        <v>1</v>
      </c>
      <c r="D53" s="30" t="str">
        <f>Calculos!B159</f>
        <v>Carga de trabajo en OIJ</v>
      </c>
      <c r="E53" s="31" t="s">
        <v>3144</v>
      </c>
      <c r="F53" s="31" t="s">
        <v>3693</v>
      </c>
      <c r="G53" s="31" t="s">
        <v>4150</v>
      </c>
      <c r="H53" s="32" t="s">
        <v>4151</v>
      </c>
      <c r="I53" s="31" t="s">
        <v>4152</v>
      </c>
      <c r="J53" s="28" t="s">
        <v>3973</v>
      </c>
      <c r="K53" s="28" t="s">
        <v>3696</v>
      </c>
      <c r="L53" s="28" t="s">
        <v>3873</v>
      </c>
      <c r="M53" s="28" t="s">
        <v>3698</v>
      </c>
      <c r="N53" s="33" t="s">
        <v>4061</v>
      </c>
      <c r="O53" s="28" t="s">
        <v>1078</v>
      </c>
      <c r="P53" s="28" t="s">
        <v>4018</v>
      </c>
      <c r="Q53" s="29"/>
    </row>
    <row r="54" spans="1:17" ht="25.5" x14ac:dyDescent="0.2">
      <c r="A54" s="28"/>
      <c r="B54" s="29">
        <f>'[1]Calculos Indicadores'!C161</f>
        <v>9.3000000000000007</v>
      </c>
      <c r="C54" s="29" t="b">
        <f t="shared" si="0"/>
        <v>1</v>
      </c>
      <c r="D54" s="30" t="str">
        <f>Calculos!B160</f>
        <v>Carga de trabajo en Ciencias Forenses</v>
      </c>
      <c r="E54" s="34" t="s">
        <v>3145</v>
      </c>
      <c r="F54" s="34" t="s">
        <v>3693</v>
      </c>
      <c r="G54" s="34" t="s">
        <v>4153</v>
      </c>
      <c r="H54" s="32" t="s">
        <v>4102</v>
      </c>
      <c r="I54" s="34" t="s">
        <v>4154</v>
      </c>
      <c r="J54" s="28" t="s">
        <v>3973</v>
      </c>
      <c r="K54" s="28" t="s">
        <v>3696</v>
      </c>
      <c r="L54" s="28" t="s">
        <v>3873</v>
      </c>
      <c r="M54" s="28" t="s">
        <v>3698</v>
      </c>
      <c r="N54" s="33" t="s">
        <v>4061</v>
      </c>
      <c r="O54" s="28" t="s">
        <v>3700</v>
      </c>
      <c r="P54" s="28" t="s">
        <v>4018</v>
      </c>
      <c r="Q54" s="29"/>
    </row>
    <row r="55" spans="1:17" ht="25.5" x14ac:dyDescent="0.2">
      <c r="A55" s="28"/>
      <c r="B55" s="29" t="str">
        <f>'[1]Calculos Indicadores'!C162</f>
        <v>9.4.1</v>
      </c>
      <c r="C55" s="29" t="b">
        <f t="shared" si="0"/>
        <v>1</v>
      </c>
      <c r="D55" s="30" t="str">
        <f>Calculos!B161</f>
        <v>Carga de trabajo en Defensa Pública</v>
      </c>
      <c r="E55" s="31" t="s">
        <v>3146</v>
      </c>
      <c r="F55" s="31" t="s">
        <v>3693</v>
      </c>
      <c r="G55" s="31" t="s">
        <v>4155</v>
      </c>
      <c r="H55" s="32" t="s">
        <v>4102</v>
      </c>
      <c r="I55" s="31" t="s">
        <v>4156</v>
      </c>
      <c r="J55" s="28" t="s">
        <v>3973</v>
      </c>
      <c r="K55" s="28" t="s">
        <v>3696</v>
      </c>
      <c r="L55" s="28" t="s">
        <v>3873</v>
      </c>
      <c r="M55" s="28" t="s">
        <v>3698</v>
      </c>
      <c r="N55" s="33" t="s">
        <v>4061</v>
      </c>
      <c r="O55" s="28" t="s">
        <v>3700</v>
      </c>
      <c r="P55" s="28" t="s">
        <v>4018</v>
      </c>
      <c r="Q55" s="29"/>
    </row>
    <row r="56" spans="1:17" ht="25.5" x14ac:dyDescent="0.2">
      <c r="A56" s="28"/>
      <c r="B56" s="29" t="str">
        <f>'[1]Calculos Indicadores'!C163</f>
        <v>9.4.2</v>
      </c>
      <c r="C56" s="29" t="b">
        <f t="shared" si="0"/>
        <v>1</v>
      </c>
      <c r="D56" s="30" t="str">
        <f>Calculos!B162</f>
        <v>Carga de trabajo en Defensa Pública-Laboral</v>
      </c>
      <c r="E56" s="34" t="s">
        <v>3147</v>
      </c>
      <c r="F56" s="34" t="s">
        <v>3693</v>
      </c>
      <c r="G56" s="34" t="s">
        <v>4157</v>
      </c>
      <c r="H56" s="32" t="s">
        <v>4102</v>
      </c>
      <c r="I56" s="34" t="s">
        <v>4158</v>
      </c>
      <c r="J56" s="28" t="s">
        <v>3973</v>
      </c>
      <c r="K56" s="28" t="s">
        <v>3696</v>
      </c>
      <c r="L56" s="28" t="s">
        <v>3873</v>
      </c>
      <c r="M56" s="28" t="s">
        <v>3698</v>
      </c>
      <c r="N56" s="33" t="s">
        <v>4061</v>
      </c>
      <c r="O56" s="28" t="s">
        <v>4159</v>
      </c>
      <c r="P56" s="28" t="s">
        <v>4018</v>
      </c>
      <c r="Q56" s="29"/>
    </row>
    <row r="57" spans="1:17" ht="25.5" x14ac:dyDescent="0.2">
      <c r="A57" s="28"/>
      <c r="B57" s="29">
        <f>'[1]Calculos Indicadores'!C164</f>
        <v>9.5</v>
      </c>
      <c r="C57" s="29" t="b">
        <f t="shared" si="0"/>
        <v>1</v>
      </c>
      <c r="D57" s="30" t="str">
        <f>Calculos!B163</f>
        <v>Carga de trabajo en Atención y Protección a Víctimas y Testigos</v>
      </c>
      <c r="E57" s="31" t="s">
        <v>4160</v>
      </c>
      <c r="F57" s="31" t="s">
        <v>3693</v>
      </c>
      <c r="G57" s="31" t="s">
        <v>4161</v>
      </c>
      <c r="H57" s="32" t="s">
        <v>4102</v>
      </c>
      <c r="I57" s="31" t="s">
        <v>4162</v>
      </c>
      <c r="J57" s="28" t="s">
        <v>3973</v>
      </c>
      <c r="K57" s="28" t="s">
        <v>3696</v>
      </c>
      <c r="L57" s="28" t="s">
        <v>3873</v>
      </c>
      <c r="M57" s="28" t="s">
        <v>3698</v>
      </c>
      <c r="N57" s="33" t="s">
        <v>4061</v>
      </c>
      <c r="O57" s="28" t="s">
        <v>4163</v>
      </c>
      <c r="P57" s="28" t="s">
        <v>4018</v>
      </c>
      <c r="Q57" s="29"/>
    </row>
    <row r="58" spans="1:17" ht="25.5" x14ac:dyDescent="0.2">
      <c r="A58" s="28">
        <v>9.6</v>
      </c>
      <c r="B58" s="29">
        <f>'[1]Calculos Indicadores'!C165</f>
        <v>9.6</v>
      </c>
      <c r="C58" s="29" t="b">
        <f t="shared" si="0"/>
        <v>1</v>
      </c>
      <c r="D58" s="30" t="str">
        <f>Calculos!B164</f>
        <v>% de variación de la carga de trabajo en I instancia Jurisdiccional  con respecto al año anterior</v>
      </c>
      <c r="E58" s="34" t="s">
        <v>3149</v>
      </c>
      <c r="F58" s="34" t="s">
        <v>3693</v>
      </c>
      <c r="G58" s="34" t="s">
        <v>4164</v>
      </c>
      <c r="H58" s="32" t="s">
        <v>4165</v>
      </c>
      <c r="I58" s="34" t="s">
        <v>4166</v>
      </c>
      <c r="J58" s="28" t="s">
        <v>3710</v>
      </c>
      <c r="K58" s="28" t="s">
        <v>3696</v>
      </c>
      <c r="L58" s="28" t="s">
        <v>3873</v>
      </c>
      <c r="M58" s="28" t="s">
        <v>3698</v>
      </c>
      <c r="N58" s="33" t="s">
        <v>4061</v>
      </c>
      <c r="O58" s="28" t="s">
        <v>3700</v>
      </c>
      <c r="P58" s="28" t="s">
        <v>4018</v>
      </c>
      <c r="Q58" s="29"/>
    </row>
    <row r="59" spans="1:17" ht="25.5" x14ac:dyDescent="0.2">
      <c r="A59" s="28"/>
      <c r="B59" s="29"/>
      <c r="C59" s="29" t="b">
        <f t="shared" ref="C59:C99" si="3">D59=E59</f>
        <v>1</v>
      </c>
      <c r="D59" s="30" t="str">
        <f>Calculos!B165</f>
        <v>% de variación de la carga de trabajo en I Instancia Jurisdiccional- Trámite con respecto al año anterior</v>
      </c>
      <c r="E59" s="31" t="s">
        <v>3150</v>
      </c>
      <c r="F59" s="31" t="s">
        <v>3693</v>
      </c>
      <c r="G59" s="31" t="s">
        <v>4167</v>
      </c>
      <c r="H59" s="32" t="s">
        <v>4165</v>
      </c>
      <c r="I59" s="31" t="s">
        <v>4168</v>
      </c>
      <c r="J59" s="28" t="s">
        <v>3710</v>
      </c>
      <c r="K59" s="28" t="s">
        <v>3696</v>
      </c>
      <c r="L59" s="28" t="s">
        <v>3873</v>
      </c>
      <c r="M59" s="28" t="s">
        <v>3698</v>
      </c>
      <c r="N59" s="33" t="s">
        <v>4061</v>
      </c>
      <c r="O59" s="28" t="s">
        <v>3700</v>
      </c>
      <c r="P59" s="28" t="s">
        <v>4018</v>
      </c>
      <c r="Q59" s="29"/>
    </row>
    <row r="60" spans="1:17" ht="25.5" x14ac:dyDescent="0.2">
      <c r="A60" s="28"/>
      <c r="B60" s="29"/>
      <c r="C60" s="29" t="b">
        <f t="shared" si="3"/>
        <v>1</v>
      </c>
      <c r="D60" s="30" t="str">
        <f>Calculos!B166</f>
        <v>% de variación de la carga de trabajo en I Instancia Jurisdiccional + MP con respecto al año anterior</v>
      </c>
      <c r="E60" s="34" t="s">
        <v>3151</v>
      </c>
      <c r="F60" s="34" t="s">
        <v>3693</v>
      </c>
      <c r="G60" s="34" t="s">
        <v>4169</v>
      </c>
      <c r="H60" s="32" t="s">
        <v>4170</v>
      </c>
      <c r="I60" s="34" t="s">
        <v>4171</v>
      </c>
      <c r="J60" s="28" t="s">
        <v>3710</v>
      </c>
      <c r="K60" s="28" t="s">
        <v>3696</v>
      </c>
      <c r="L60" s="28" t="s">
        <v>3873</v>
      </c>
      <c r="M60" s="28" t="s">
        <v>3698</v>
      </c>
      <c r="N60" s="33" t="s">
        <v>4061</v>
      </c>
      <c r="O60" s="28" t="s">
        <v>3700</v>
      </c>
      <c r="P60" s="28" t="s">
        <v>4018</v>
      </c>
      <c r="Q60" s="29"/>
    </row>
    <row r="61" spans="1:17" ht="25.5" x14ac:dyDescent="0.2">
      <c r="A61" s="28"/>
      <c r="B61" s="29"/>
      <c r="C61" s="29" t="b">
        <f t="shared" si="3"/>
        <v>1</v>
      </c>
      <c r="D61" s="30" t="str">
        <f>Calculos!B167</f>
        <v>% de variación de la carga de trabajo en I Instancia materias no penales con respecto al año anterior</v>
      </c>
      <c r="E61" s="31" t="s">
        <v>3152</v>
      </c>
      <c r="F61" s="31" t="s">
        <v>3693</v>
      </c>
      <c r="G61" s="31" t="s">
        <v>4172</v>
      </c>
      <c r="H61" s="32" t="s">
        <v>4173</v>
      </c>
      <c r="I61" s="31" t="s">
        <v>4174</v>
      </c>
      <c r="J61" s="28" t="s">
        <v>3710</v>
      </c>
      <c r="K61" s="28" t="s">
        <v>3696</v>
      </c>
      <c r="L61" s="28" t="s">
        <v>3873</v>
      </c>
      <c r="M61" s="28" t="s">
        <v>3698</v>
      </c>
      <c r="N61" s="33" t="s">
        <v>4061</v>
      </c>
      <c r="O61" s="28" t="s">
        <v>3700</v>
      </c>
      <c r="P61" s="28" t="s">
        <v>4018</v>
      </c>
      <c r="Q61" s="29"/>
    </row>
    <row r="62" spans="1:17" ht="25.5" x14ac:dyDescent="0.2">
      <c r="A62" s="28"/>
      <c r="B62" s="29"/>
      <c r="C62" s="29" t="b">
        <f t="shared" si="3"/>
        <v>1</v>
      </c>
      <c r="D62" s="30" t="str">
        <f>Calculos!B168</f>
        <v>% de variación de la carga de trabajo en I Instancia materia civil con respecto al año anterior</v>
      </c>
      <c r="E62" s="34" t="s">
        <v>3153</v>
      </c>
      <c r="F62" s="34" t="s">
        <v>3693</v>
      </c>
      <c r="G62" s="34" t="s">
        <v>4175</v>
      </c>
      <c r="H62" s="32" t="s">
        <v>4176</v>
      </c>
      <c r="I62" s="34" t="s">
        <v>4177</v>
      </c>
      <c r="J62" s="28" t="s">
        <v>3710</v>
      </c>
      <c r="K62" s="28" t="s">
        <v>3696</v>
      </c>
      <c r="L62" s="28" t="s">
        <v>4060</v>
      </c>
      <c r="M62" s="28" t="s">
        <v>3698</v>
      </c>
      <c r="N62" s="33" t="s">
        <v>4061</v>
      </c>
      <c r="O62" s="28" t="s">
        <v>3700</v>
      </c>
      <c r="P62" s="28" t="s">
        <v>4018</v>
      </c>
      <c r="Q62" s="29"/>
    </row>
    <row r="63" spans="1:17" ht="25.5" x14ac:dyDescent="0.2">
      <c r="A63" s="28"/>
      <c r="B63" s="29"/>
      <c r="C63" s="29" t="b">
        <f t="shared" si="3"/>
        <v>1</v>
      </c>
      <c r="D63" s="30" t="str">
        <f>Calculos!B169</f>
        <v>% de variación de la carga de trabajo en I Instancia materia cobratoria con respecto al año anterior</v>
      </c>
      <c r="E63" s="31" t="s">
        <v>3154</v>
      </c>
      <c r="F63" s="31" t="s">
        <v>3693</v>
      </c>
      <c r="G63" s="31" t="s">
        <v>4175</v>
      </c>
      <c r="H63" s="32" t="s">
        <v>4176</v>
      </c>
      <c r="I63" s="31" t="s">
        <v>4177</v>
      </c>
      <c r="J63" s="28" t="s">
        <v>3710</v>
      </c>
      <c r="K63" s="28" t="s">
        <v>3696</v>
      </c>
      <c r="L63" s="28" t="s">
        <v>4060</v>
      </c>
      <c r="M63" s="28" t="s">
        <v>3698</v>
      </c>
      <c r="N63" s="33" t="s">
        <v>4061</v>
      </c>
      <c r="O63" s="28" t="s">
        <v>4064</v>
      </c>
      <c r="P63" s="28" t="s">
        <v>4018</v>
      </c>
      <c r="Q63" s="29"/>
    </row>
    <row r="64" spans="1:17" ht="25.5" x14ac:dyDescent="0.2">
      <c r="A64" s="28"/>
      <c r="B64" s="29"/>
      <c r="C64" s="29" t="b">
        <f t="shared" si="3"/>
        <v>1</v>
      </c>
      <c r="D64" s="30" t="str">
        <f>Calculos!B170</f>
        <v>% de variación de la carga de trabajo en I Instancia materia agraria con respecto al año anterior</v>
      </c>
      <c r="E64" s="34" t="s">
        <v>3155</v>
      </c>
      <c r="F64" s="34" t="s">
        <v>3693</v>
      </c>
      <c r="G64" s="34" t="s">
        <v>4175</v>
      </c>
      <c r="H64" s="32" t="s">
        <v>4176</v>
      </c>
      <c r="I64" s="34" t="s">
        <v>4177</v>
      </c>
      <c r="J64" s="28" t="s">
        <v>3710</v>
      </c>
      <c r="K64" s="28" t="s">
        <v>3696</v>
      </c>
      <c r="L64" s="28" t="s">
        <v>4060</v>
      </c>
      <c r="M64" s="28" t="s">
        <v>3698</v>
      </c>
      <c r="N64" s="33" t="s">
        <v>4061</v>
      </c>
      <c r="O64" s="28" t="s">
        <v>3700</v>
      </c>
      <c r="P64" s="28" t="s">
        <v>4018</v>
      </c>
      <c r="Q64" s="29"/>
    </row>
    <row r="65" spans="1:17" ht="25.5" x14ac:dyDescent="0.2">
      <c r="A65" s="28"/>
      <c r="B65" s="29"/>
      <c r="C65" s="29" t="b">
        <f t="shared" si="3"/>
        <v>1</v>
      </c>
      <c r="D65" s="30" t="str">
        <f>Calculos!B171</f>
        <v>% de variación de la carga de trabajo en I Instancia materia de familia con respecto al año anterior</v>
      </c>
      <c r="E65" s="31" t="s">
        <v>3156</v>
      </c>
      <c r="F65" s="31" t="s">
        <v>3693</v>
      </c>
      <c r="G65" s="31" t="s">
        <v>4175</v>
      </c>
      <c r="H65" s="32" t="s">
        <v>4176</v>
      </c>
      <c r="I65" s="31" t="s">
        <v>4177</v>
      </c>
      <c r="J65" s="28" t="s">
        <v>3710</v>
      </c>
      <c r="K65" s="28" t="s">
        <v>3696</v>
      </c>
      <c r="L65" s="28" t="s">
        <v>4060</v>
      </c>
      <c r="M65" s="28" t="s">
        <v>3698</v>
      </c>
      <c r="N65" s="33" t="s">
        <v>4061</v>
      </c>
      <c r="O65" s="28" t="s">
        <v>3700</v>
      </c>
      <c r="P65" s="28" t="s">
        <v>4018</v>
      </c>
      <c r="Q65" s="29"/>
    </row>
    <row r="66" spans="1:17" ht="25.5" x14ac:dyDescent="0.2">
      <c r="A66" s="28"/>
      <c r="B66" s="29"/>
      <c r="C66" s="29" t="b">
        <f t="shared" si="3"/>
        <v>1</v>
      </c>
      <c r="D66" s="30" t="str">
        <f>Calculos!B172</f>
        <v>% de variación de la carga de trabajo en I Instancia materia contenciosa administrativa con respecto al año anterior</v>
      </c>
      <c r="E66" s="34" t="s">
        <v>3157</v>
      </c>
      <c r="F66" s="34" t="s">
        <v>3693</v>
      </c>
      <c r="G66" s="34" t="s">
        <v>4175</v>
      </c>
      <c r="H66" s="32" t="s">
        <v>4176</v>
      </c>
      <c r="I66" s="34" t="s">
        <v>4177</v>
      </c>
      <c r="J66" s="28" t="s">
        <v>3710</v>
      </c>
      <c r="K66" s="28" t="s">
        <v>3696</v>
      </c>
      <c r="L66" s="28" t="s">
        <v>4060</v>
      </c>
      <c r="M66" s="28" t="s">
        <v>3698</v>
      </c>
      <c r="N66" s="33" t="s">
        <v>4061</v>
      </c>
      <c r="O66" s="28" t="s">
        <v>3700</v>
      </c>
      <c r="P66" s="28" t="s">
        <v>4018</v>
      </c>
      <c r="Q66" s="29"/>
    </row>
    <row r="67" spans="1:17" ht="25.5" x14ac:dyDescent="0.2">
      <c r="A67" s="28"/>
      <c r="B67" s="29"/>
      <c r="C67" s="29" t="b">
        <f t="shared" si="3"/>
        <v>1</v>
      </c>
      <c r="D67" s="30" t="str">
        <f>Calculos!B173</f>
        <v>% de variación de la carga de trabajo en I Instancia materia de trabajo con respecto al año anterior</v>
      </c>
      <c r="E67" s="31" t="s">
        <v>3158</v>
      </c>
      <c r="F67" s="31" t="s">
        <v>3693</v>
      </c>
      <c r="G67" s="31" t="s">
        <v>4175</v>
      </c>
      <c r="H67" s="32" t="s">
        <v>4176</v>
      </c>
      <c r="I67" s="31" t="s">
        <v>4177</v>
      </c>
      <c r="J67" s="28" t="s">
        <v>3710</v>
      </c>
      <c r="K67" s="28" t="s">
        <v>3696</v>
      </c>
      <c r="L67" s="28" t="s">
        <v>4060</v>
      </c>
      <c r="M67" s="28" t="s">
        <v>3698</v>
      </c>
      <c r="N67" s="33" t="s">
        <v>4061</v>
      </c>
      <c r="O67" s="28" t="s">
        <v>3700</v>
      </c>
      <c r="P67" s="28" t="s">
        <v>4018</v>
      </c>
      <c r="Q67" s="29"/>
    </row>
    <row r="68" spans="1:17" ht="25.5" x14ac:dyDescent="0.2">
      <c r="A68" s="28"/>
      <c r="B68" s="29"/>
      <c r="C68" s="29" t="b">
        <f t="shared" si="3"/>
        <v>1</v>
      </c>
      <c r="D68" s="30" t="str">
        <f>Calculos!B174</f>
        <v>% de variación de la carga de trabajo en I Instancia materia contravencional con respecto al año anterior</v>
      </c>
      <c r="E68" s="34" t="s">
        <v>3159</v>
      </c>
      <c r="F68" s="34" t="s">
        <v>3693</v>
      </c>
      <c r="G68" s="34" t="s">
        <v>4175</v>
      </c>
      <c r="H68" s="32" t="s">
        <v>4176</v>
      </c>
      <c r="I68" s="34" t="s">
        <v>4177</v>
      </c>
      <c r="J68" s="28" t="s">
        <v>3710</v>
      </c>
      <c r="K68" s="28" t="s">
        <v>3696</v>
      </c>
      <c r="L68" s="28" t="s">
        <v>4060</v>
      </c>
      <c r="M68" s="28" t="s">
        <v>3698</v>
      </c>
      <c r="N68" s="33" t="s">
        <v>4061</v>
      </c>
      <c r="O68" s="28" t="s">
        <v>3700</v>
      </c>
      <c r="P68" s="28" t="s">
        <v>4018</v>
      </c>
      <c r="Q68" s="29"/>
    </row>
    <row r="69" spans="1:17" ht="25.5" x14ac:dyDescent="0.2">
      <c r="A69" s="28"/>
      <c r="B69" s="29"/>
      <c r="C69" s="29" t="b">
        <f t="shared" si="3"/>
        <v>1</v>
      </c>
      <c r="D69" s="30" t="str">
        <f>Calculos!B175</f>
        <v>% de variación de la carga de trabajo en I Instancia materia de tránsito con respecto al año anterior</v>
      </c>
      <c r="E69" s="31" t="s">
        <v>3160</v>
      </c>
      <c r="F69" s="31" t="s">
        <v>3693</v>
      </c>
      <c r="G69" s="31" t="s">
        <v>4175</v>
      </c>
      <c r="H69" s="32" t="s">
        <v>4176</v>
      </c>
      <c r="I69" s="31" t="s">
        <v>4177</v>
      </c>
      <c r="J69" s="28" t="s">
        <v>3710</v>
      </c>
      <c r="K69" s="28" t="s">
        <v>3696</v>
      </c>
      <c r="L69" s="28" t="s">
        <v>4060</v>
      </c>
      <c r="M69" s="28" t="s">
        <v>3698</v>
      </c>
      <c r="N69" s="33" t="s">
        <v>4061</v>
      </c>
      <c r="O69" s="28" t="s">
        <v>3700</v>
      </c>
      <c r="P69" s="28" t="s">
        <v>4018</v>
      </c>
      <c r="Q69" s="29"/>
    </row>
    <row r="70" spans="1:17" ht="25.5" x14ac:dyDescent="0.2">
      <c r="A70" s="28"/>
      <c r="B70" s="29"/>
      <c r="C70" s="29" t="b">
        <f t="shared" si="3"/>
        <v>1</v>
      </c>
      <c r="D70" s="30" t="str">
        <f>Calculos!B176</f>
        <v>% de variación de la carga de trabajo en I Instancia materia de pensiones alimentarias con respecto al año anterior</v>
      </c>
      <c r="E70" s="34" t="s">
        <v>3161</v>
      </c>
      <c r="F70" s="34" t="s">
        <v>3693</v>
      </c>
      <c r="G70" s="34" t="s">
        <v>4175</v>
      </c>
      <c r="H70" s="32" t="s">
        <v>4176</v>
      </c>
      <c r="I70" s="34" t="s">
        <v>4177</v>
      </c>
      <c r="J70" s="28" t="s">
        <v>3710</v>
      </c>
      <c r="K70" s="28" t="s">
        <v>3696</v>
      </c>
      <c r="L70" s="28" t="s">
        <v>4060</v>
      </c>
      <c r="M70" s="28" t="s">
        <v>3698</v>
      </c>
      <c r="N70" s="33" t="s">
        <v>4061</v>
      </c>
      <c r="O70" s="28" t="s">
        <v>3700</v>
      </c>
      <c r="P70" s="28" t="s">
        <v>4018</v>
      </c>
      <c r="Q70" s="29"/>
    </row>
    <row r="71" spans="1:17" ht="25.5" x14ac:dyDescent="0.2">
      <c r="A71" s="28"/>
      <c r="B71" s="29"/>
      <c r="C71" s="29" t="b">
        <f t="shared" si="3"/>
        <v>1</v>
      </c>
      <c r="D71" s="30" t="str">
        <f>Calculos!B177</f>
        <v>% de variación de la carga de trabajo en I Instancia materia de violencia doméstica con respecto al año anterior</v>
      </c>
      <c r="E71" s="31" t="s">
        <v>3162</v>
      </c>
      <c r="F71" s="31" t="s">
        <v>3693</v>
      </c>
      <c r="G71" s="31" t="s">
        <v>4175</v>
      </c>
      <c r="H71" s="32" t="s">
        <v>4176</v>
      </c>
      <c r="I71" s="31" t="s">
        <v>4177</v>
      </c>
      <c r="J71" s="28" t="s">
        <v>3710</v>
      </c>
      <c r="K71" s="28" t="s">
        <v>3696</v>
      </c>
      <c r="L71" s="28" t="s">
        <v>4060</v>
      </c>
      <c r="M71" s="28" t="s">
        <v>3698</v>
      </c>
      <c r="N71" s="33" t="s">
        <v>4061</v>
      </c>
      <c r="O71" s="28" t="s">
        <v>3700</v>
      </c>
      <c r="P71" s="28" t="s">
        <v>4018</v>
      </c>
      <c r="Q71" s="29"/>
    </row>
    <row r="72" spans="1:17" ht="25.5" x14ac:dyDescent="0.2">
      <c r="A72" s="28"/>
      <c r="B72" s="29"/>
      <c r="C72" s="29" t="b">
        <f t="shared" si="3"/>
        <v>1</v>
      </c>
      <c r="D72" s="30" t="str">
        <f>Calculos!B178</f>
        <v>% de variación de la carga de trabajo en I Instancia materia notarial con respecto al año anterior</v>
      </c>
      <c r="E72" s="34" t="s">
        <v>3163</v>
      </c>
      <c r="F72" s="34" t="s">
        <v>3693</v>
      </c>
      <c r="G72" s="34" t="s">
        <v>4175</v>
      </c>
      <c r="H72" s="32" t="s">
        <v>4176</v>
      </c>
      <c r="I72" s="34" t="s">
        <v>4177</v>
      </c>
      <c r="J72" s="28" t="s">
        <v>3710</v>
      </c>
      <c r="K72" s="28" t="s">
        <v>3696</v>
      </c>
      <c r="L72" s="28" t="s">
        <v>4060</v>
      </c>
      <c r="M72" s="28" t="s">
        <v>3698</v>
      </c>
      <c r="N72" s="33" t="s">
        <v>4061</v>
      </c>
      <c r="O72" s="28" t="s">
        <v>3700</v>
      </c>
      <c r="P72" s="28" t="s">
        <v>4018</v>
      </c>
      <c r="Q72" s="29"/>
    </row>
    <row r="73" spans="1:17" ht="25.5" x14ac:dyDescent="0.2">
      <c r="A73" s="28"/>
      <c r="B73" s="29"/>
      <c r="C73" s="29" t="b">
        <f t="shared" si="3"/>
        <v>1</v>
      </c>
      <c r="D73" s="30" t="str">
        <f>Calculos!B179</f>
        <v>% de variación de la carga de trabajo en I Instancia materia penal con respecto al año anterior</v>
      </c>
      <c r="E73" s="31" t="s">
        <v>3164</v>
      </c>
      <c r="F73" s="31" t="s">
        <v>3693</v>
      </c>
      <c r="G73" s="31" t="s">
        <v>4175</v>
      </c>
      <c r="H73" s="32" t="s">
        <v>4176</v>
      </c>
      <c r="I73" s="31" t="s">
        <v>4177</v>
      </c>
      <c r="J73" s="28" t="s">
        <v>3710</v>
      </c>
      <c r="K73" s="28" t="s">
        <v>3696</v>
      </c>
      <c r="L73" s="28" t="s">
        <v>3873</v>
      </c>
      <c r="M73" s="28" t="s">
        <v>3698</v>
      </c>
      <c r="N73" s="33" t="s">
        <v>4061</v>
      </c>
      <c r="O73" s="28" t="s">
        <v>3700</v>
      </c>
      <c r="P73" s="28" t="s">
        <v>4018</v>
      </c>
      <c r="Q73" s="29"/>
    </row>
    <row r="74" spans="1:17" ht="25.5" x14ac:dyDescent="0.2">
      <c r="A74" s="28"/>
      <c r="B74" s="29"/>
      <c r="C74" s="29" t="b">
        <f t="shared" si="3"/>
        <v>1</v>
      </c>
      <c r="D74" s="30" t="str">
        <f>Calculos!B180</f>
        <v>% de variación de la carga de trabajo en I Instancia materia penal tribunales con respecto al año anterior</v>
      </c>
      <c r="E74" s="34" t="s">
        <v>3165</v>
      </c>
      <c r="F74" s="34" t="s">
        <v>3693</v>
      </c>
      <c r="G74" s="34" t="s">
        <v>4175</v>
      </c>
      <c r="H74" s="32" t="s">
        <v>4176</v>
      </c>
      <c r="I74" s="34" t="s">
        <v>4177</v>
      </c>
      <c r="J74" s="28" t="s">
        <v>3710</v>
      </c>
      <c r="K74" s="28" t="s">
        <v>3696</v>
      </c>
      <c r="L74" s="28" t="s">
        <v>4060</v>
      </c>
      <c r="M74" s="28" t="s">
        <v>3698</v>
      </c>
      <c r="N74" s="33" t="s">
        <v>4061</v>
      </c>
      <c r="O74" s="28" t="s">
        <v>3700</v>
      </c>
      <c r="P74" s="28" t="s">
        <v>4018</v>
      </c>
      <c r="Q74" s="29"/>
    </row>
    <row r="75" spans="1:17" ht="25.5" x14ac:dyDescent="0.2">
      <c r="A75" s="28"/>
      <c r="B75" s="29"/>
      <c r="C75" s="29" t="b">
        <f t="shared" si="3"/>
        <v>1</v>
      </c>
      <c r="D75" s="30" t="str">
        <f>Calculos!B181</f>
        <v>% de variación de la carga de trabajo en I Instancia materia penal juzgados con respecto al año anterior</v>
      </c>
      <c r="E75" s="31" t="s">
        <v>3166</v>
      </c>
      <c r="F75" s="31" t="s">
        <v>3693</v>
      </c>
      <c r="G75" s="31" t="s">
        <v>4175</v>
      </c>
      <c r="H75" s="32" t="s">
        <v>4176</v>
      </c>
      <c r="I75" s="31" t="s">
        <v>4177</v>
      </c>
      <c r="J75" s="28" t="s">
        <v>3710</v>
      </c>
      <c r="K75" s="28" t="s">
        <v>3696</v>
      </c>
      <c r="L75" s="28" t="s">
        <v>4060</v>
      </c>
      <c r="M75" s="28" t="s">
        <v>3698</v>
      </c>
      <c r="N75" s="33" t="s">
        <v>4061</v>
      </c>
      <c r="O75" s="28" t="s">
        <v>3700</v>
      </c>
      <c r="P75" s="28" t="s">
        <v>4018</v>
      </c>
      <c r="Q75" s="29"/>
    </row>
    <row r="76" spans="1:17" ht="25.5" x14ac:dyDescent="0.2">
      <c r="A76" s="28"/>
      <c r="B76" s="29"/>
      <c r="C76" s="29" t="b">
        <f t="shared" si="3"/>
        <v>1</v>
      </c>
      <c r="D76" s="30" t="str">
        <f>Calculos!B182</f>
        <v>% de variación de la carga de trabajo en I Instancia materia penal fiscalías con respecto al año anterior</v>
      </c>
      <c r="E76" s="34" t="s">
        <v>3167</v>
      </c>
      <c r="F76" s="34" t="s">
        <v>3693</v>
      </c>
      <c r="G76" s="34" t="s">
        <v>4175</v>
      </c>
      <c r="H76" s="32" t="s">
        <v>4176</v>
      </c>
      <c r="I76" s="34" t="s">
        <v>4177</v>
      </c>
      <c r="J76" s="28" t="s">
        <v>3710</v>
      </c>
      <c r="K76" s="28" t="s">
        <v>3696</v>
      </c>
      <c r="L76" s="28" t="s">
        <v>4060</v>
      </c>
      <c r="M76" s="28" t="s">
        <v>3698</v>
      </c>
      <c r="N76" s="33" t="s">
        <v>4061</v>
      </c>
      <c r="O76" s="28" t="s">
        <v>3700</v>
      </c>
      <c r="P76" s="28" t="s">
        <v>4018</v>
      </c>
      <c r="Q76" s="29"/>
    </row>
    <row r="77" spans="1:17" ht="25.5" x14ac:dyDescent="0.2">
      <c r="A77" s="28"/>
      <c r="B77" s="29"/>
      <c r="C77" s="29" t="b">
        <f t="shared" si="3"/>
        <v>1</v>
      </c>
      <c r="D77" s="30" t="str">
        <f>Calculos!B183</f>
        <v>% de variación de la carga de trabajo en I Instancia materia penal juvenil con respecto al año anterior</v>
      </c>
      <c r="E77" s="31" t="s">
        <v>3168</v>
      </c>
      <c r="F77" s="31" t="s">
        <v>3693</v>
      </c>
      <c r="G77" s="31" t="s">
        <v>4175</v>
      </c>
      <c r="H77" s="32" t="s">
        <v>4176</v>
      </c>
      <c r="I77" s="31" t="s">
        <v>4177</v>
      </c>
      <c r="J77" s="28" t="s">
        <v>3710</v>
      </c>
      <c r="K77" s="28" t="s">
        <v>3696</v>
      </c>
      <c r="L77" s="28" t="s">
        <v>4060</v>
      </c>
      <c r="M77" s="28" t="s">
        <v>3698</v>
      </c>
      <c r="N77" s="33" t="s">
        <v>4061</v>
      </c>
      <c r="O77" s="28" t="s">
        <v>3700</v>
      </c>
      <c r="P77" s="28" t="s">
        <v>4018</v>
      </c>
      <c r="Q77" s="29"/>
    </row>
    <row r="78" spans="1:17" ht="25.5" x14ac:dyDescent="0.2">
      <c r="A78" s="28"/>
      <c r="B78" s="29"/>
      <c r="C78" s="29" t="b">
        <f t="shared" si="3"/>
        <v>1</v>
      </c>
      <c r="D78" s="30" t="str">
        <f>Calculos!B184</f>
        <v>% de variación de la carga de trabajo en I Instancia materia penal juvenil juzgados con respecto al año anterior</v>
      </c>
      <c r="E78" s="34" t="s">
        <v>3169</v>
      </c>
      <c r="F78" s="34" t="s">
        <v>3693</v>
      </c>
      <c r="G78" s="34" t="s">
        <v>4175</v>
      </c>
      <c r="H78" s="32" t="s">
        <v>4176</v>
      </c>
      <c r="I78" s="34" t="s">
        <v>4177</v>
      </c>
      <c r="J78" s="28" t="s">
        <v>3710</v>
      </c>
      <c r="K78" s="28" t="s">
        <v>3696</v>
      </c>
      <c r="L78" s="28" t="s">
        <v>4060</v>
      </c>
      <c r="M78" s="28" t="s">
        <v>3698</v>
      </c>
      <c r="N78" s="33" t="s">
        <v>4061</v>
      </c>
      <c r="O78" s="28" t="s">
        <v>3700</v>
      </c>
      <c r="P78" s="28" t="s">
        <v>4018</v>
      </c>
      <c r="Q78" s="29"/>
    </row>
    <row r="79" spans="1:17" ht="25.5" x14ac:dyDescent="0.2">
      <c r="A79" s="28"/>
      <c r="B79" s="29"/>
      <c r="C79" s="29" t="b">
        <f t="shared" si="3"/>
        <v>1</v>
      </c>
      <c r="D79" s="30" t="str">
        <f>Calculos!B185</f>
        <v>% de variación de la carga de trabajo en I Instancia materia penal juvenil fiscalías con respecto al año anterior</v>
      </c>
      <c r="E79" s="31" t="s">
        <v>3170</v>
      </c>
      <c r="F79" s="31" t="s">
        <v>3693</v>
      </c>
      <c r="G79" s="31" t="s">
        <v>4175</v>
      </c>
      <c r="H79" s="32" t="s">
        <v>4176</v>
      </c>
      <c r="I79" s="31" t="s">
        <v>4177</v>
      </c>
      <c r="J79" s="28" t="s">
        <v>3710</v>
      </c>
      <c r="K79" s="28" t="s">
        <v>3696</v>
      </c>
      <c r="L79" s="28" t="s">
        <v>4060</v>
      </c>
      <c r="M79" s="28" t="s">
        <v>3698</v>
      </c>
      <c r="N79" s="33" t="s">
        <v>4061</v>
      </c>
      <c r="O79" s="28" t="s">
        <v>3700</v>
      </c>
      <c r="P79" s="28" t="s">
        <v>4018</v>
      </c>
      <c r="Q79" s="29"/>
    </row>
    <row r="80" spans="1:17" ht="25.5" x14ac:dyDescent="0.2">
      <c r="A80" s="28"/>
      <c r="B80" s="29"/>
      <c r="C80" s="29" t="b">
        <f t="shared" si="3"/>
        <v>1</v>
      </c>
      <c r="D80" s="30" t="str">
        <f>Calculos!B186</f>
        <v>% de variación de la carga de trabajo en única instancia con respecto al año anterior</v>
      </c>
      <c r="E80" s="34" t="s">
        <v>3171</v>
      </c>
      <c r="F80" s="34" t="s">
        <v>3693</v>
      </c>
      <c r="G80" s="34" t="s">
        <v>4175</v>
      </c>
      <c r="H80" s="32" t="s">
        <v>4176</v>
      </c>
      <c r="I80" s="34" t="s">
        <v>4177</v>
      </c>
      <c r="J80" s="28" t="s">
        <v>3710</v>
      </c>
      <c r="K80" s="28" t="s">
        <v>3696</v>
      </c>
      <c r="L80" s="28" t="s">
        <v>4060</v>
      </c>
      <c r="M80" s="28" t="s">
        <v>3698</v>
      </c>
      <c r="N80" s="33" t="s">
        <v>4061</v>
      </c>
      <c r="O80" s="28" t="s">
        <v>3700</v>
      </c>
      <c r="P80" s="28" t="s">
        <v>4018</v>
      </c>
      <c r="Q80" s="29"/>
    </row>
    <row r="81" spans="1:17" ht="25.5" x14ac:dyDescent="0.2">
      <c r="A81" s="28"/>
      <c r="B81" s="29"/>
      <c r="C81" s="29" t="b">
        <f t="shared" si="3"/>
        <v>1</v>
      </c>
      <c r="D81" s="30" t="str">
        <f>Calculos!B187</f>
        <v>% de variación de la carga de trabajo en II Instancia con respecto al año anterior</v>
      </c>
      <c r="E81" s="31" t="s">
        <v>3172</v>
      </c>
      <c r="F81" s="31" t="s">
        <v>3693</v>
      </c>
      <c r="G81" s="31" t="s">
        <v>4178</v>
      </c>
      <c r="H81" s="32" t="s">
        <v>4179</v>
      </c>
      <c r="I81" s="31" t="s">
        <v>4180</v>
      </c>
      <c r="J81" s="28" t="s">
        <v>3710</v>
      </c>
      <c r="K81" s="28" t="s">
        <v>3696</v>
      </c>
      <c r="L81" s="28" t="s">
        <v>3873</v>
      </c>
      <c r="M81" s="28" t="s">
        <v>3698</v>
      </c>
      <c r="N81" s="33" t="s">
        <v>4061</v>
      </c>
      <c r="O81" s="28" t="s">
        <v>3700</v>
      </c>
      <c r="P81" s="28" t="s">
        <v>4018</v>
      </c>
      <c r="Q81" s="29"/>
    </row>
    <row r="82" spans="1:17" ht="25.5" x14ac:dyDescent="0.2">
      <c r="A82" s="28"/>
      <c r="B82" s="29"/>
      <c r="C82" s="29" t="b">
        <f t="shared" si="3"/>
        <v>1</v>
      </c>
      <c r="D82" s="30" t="str">
        <f>Calculos!B188</f>
        <v>% de variación de la carga de trabajo en II Instancia Tribunal de apelación penal con respecto al año anterior</v>
      </c>
      <c r="E82" s="34" t="s">
        <v>3173</v>
      </c>
      <c r="F82" s="34" t="s">
        <v>3693</v>
      </c>
      <c r="G82" s="34" t="s">
        <v>4181</v>
      </c>
      <c r="H82" s="32" t="s">
        <v>4182</v>
      </c>
      <c r="I82" s="34" t="s">
        <v>4183</v>
      </c>
      <c r="J82" s="28" t="s">
        <v>3710</v>
      </c>
      <c r="K82" s="28" t="s">
        <v>3696</v>
      </c>
      <c r="L82" s="28" t="s">
        <v>4107</v>
      </c>
      <c r="M82" s="28" t="s">
        <v>3698</v>
      </c>
      <c r="N82" s="33" t="s">
        <v>4061</v>
      </c>
      <c r="O82" s="28" t="s">
        <v>3740</v>
      </c>
      <c r="P82" s="28" t="s">
        <v>4018</v>
      </c>
      <c r="Q82" s="29"/>
    </row>
    <row r="83" spans="1:17" ht="25.5" x14ac:dyDescent="0.2">
      <c r="A83" s="28"/>
      <c r="B83" s="29"/>
      <c r="C83" s="29" t="b">
        <f t="shared" si="3"/>
        <v>1</v>
      </c>
      <c r="D83" s="30" t="str">
        <f>Calculos!B189</f>
        <v>% de variación de la carga de trabajo en II Instancia Tribunal de apelación penal juvenil con respecto al año anterior</v>
      </c>
      <c r="E83" s="31" t="s">
        <v>3174</v>
      </c>
      <c r="F83" s="31" t="s">
        <v>3693</v>
      </c>
      <c r="G83" s="31" t="s">
        <v>4184</v>
      </c>
      <c r="H83" s="32" t="s">
        <v>4182</v>
      </c>
      <c r="I83" s="31" t="s">
        <v>4183</v>
      </c>
      <c r="J83" s="28" t="s">
        <v>3710</v>
      </c>
      <c r="K83" s="28" t="s">
        <v>3696</v>
      </c>
      <c r="L83" s="28" t="s">
        <v>4107</v>
      </c>
      <c r="M83" s="28" t="s">
        <v>3698</v>
      </c>
      <c r="N83" s="33" t="s">
        <v>4061</v>
      </c>
      <c r="O83" s="28" t="s">
        <v>3740</v>
      </c>
      <c r="P83" s="28" t="s">
        <v>4018</v>
      </c>
      <c r="Q83" s="29"/>
    </row>
    <row r="84" spans="1:17" ht="25.5" x14ac:dyDescent="0.2">
      <c r="A84" s="28"/>
      <c r="B84" s="29"/>
      <c r="C84" s="29" t="b">
        <f t="shared" si="3"/>
        <v>1</v>
      </c>
      <c r="D84" s="30" t="str">
        <f>Calculos!B190</f>
        <v>% de variación de la carga de trabajo en II Instancia en Tribunales civiles con respecto al año anterior</v>
      </c>
      <c r="E84" s="34" t="s">
        <v>3175</v>
      </c>
      <c r="F84" s="34" t="s">
        <v>3693</v>
      </c>
      <c r="G84" s="34" t="s">
        <v>4185</v>
      </c>
      <c r="H84" s="32" t="s">
        <v>4182</v>
      </c>
      <c r="I84" s="34" t="s">
        <v>4183</v>
      </c>
      <c r="J84" s="28" t="s">
        <v>3710</v>
      </c>
      <c r="K84" s="28" t="s">
        <v>3696</v>
      </c>
      <c r="L84" s="28" t="s">
        <v>4107</v>
      </c>
      <c r="M84" s="28" t="s">
        <v>3698</v>
      </c>
      <c r="N84" s="33" t="s">
        <v>4061</v>
      </c>
      <c r="O84" s="28" t="s">
        <v>3700</v>
      </c>
      <c r="P84" s="28" t="s">
        <v>4018</v>
      </c>
      <c r="Q84" s="29"/>
    </row>
    <row r="85" spans="1:17" ht="25.5" x14ac:dyDescent="0.2">
      <c r="A85" s="28"/>
      <c r="B85" s="29"/>
      <c r="C85" s="29" t="b">
        <f t="shared" si="3"/>
        <v>1</v>
      </c>
      <c r="D85" s="30" t="str">
        <f>Calculos!B191</f>
        <v>% de variación de la carga de trabajo en II Instancia en Tribunales laborales con respecto al año anterior</v>
      </c>
      <c r="E85" s="31" t="s">
        <v>3176</v>
      </c>
      <c r="F85" s="31" t="s">
        <v>3693</v>
      </c>
      <c r="G85" s="31" t="s">
        <v>4186</v>
      </c>
      <c r="H85" s="32" t="s">
        <v>4182</v>
      </c>
      <c r="I85" s="31" t="s">
        <v>4183</v>
      </c>
      <c r="J85" s="28" t="s">
        <v>3710</v>
      </c>
      <c r="K85" s="28" t="s">
        <v>3696</v>
      </c>
      <c r="L85" s="28" t="s">
        <v>4107</v>
      </c>
      <c r="M85" s="28" t="s">
        <v>3698</v>
      </c>
      <c r="N85" s="33" t="s">
        <v>4061</v>
      </c>
      <c r="O85" s="28" t="s">
        <v>3700</v>
      </c>
      <c r="P85" s="28" t="s">
        <v>4018</v>
      </c>
      <c r="Q85" s="29"/>
    </row>
    <row r="86" spans="1:17" ht="25.5" x14ac:dyDescent="0.2">
      <c r="A86" s="28"/>
      <c r="B86" s="29"/>
      <c r="C86" s="29" t="b">
        <f t="shared" si="3"/>
        <v>1</v>
      </c>
      <c r="D86" s="30" t="str">
        <f>Calculos!B192</f>
        <v>% de variación de la carga de trabajo en II Instancia en Tribunal Contencioso Administrativo con respecto al año anterior</v>
      </c>
      <c r="E86" s="34" t="s">
        <v>3177</v>
      </c>
      <c r="F86" s="34" t="s">
        <v>3693</v>
      </c>
      <c r="G86" s="34" t="s">
        <v>4187</v>
      </c>
      <c r="H86" s="32" t="s">
        <v>4182</v>
      </c>
      <c r="I86" s="34" t="s">
        <v>4183</v>
      </c>
      <c r="J86" s="28" t="s">
        <v>3710</v>
      </c>
      <c r="K86" s="28" t="s">
        <v>3696</v>
      </c>
      <c r="L86" s="28" t="s">
        <v>4107</v>
      </c>
      <c r="M86" s="28" t="s">
        <v>3698</v>
      </c>
      <c r="N86" s="33" t="s">
        <v>4061</v>
      </c>
      <c r="O86" s="28" t="s">
        <v>3700</v>
      </c>
      <c r="P86" s="28" t="s">
        <v>4018</v>
      </c>
      <c r="Q86" s="29"/>
    </row>
    <row r="87" spans="1:17" ht="25.5" x14ac:dyDescent="0.2">
      <c r="A87" s="28"/>
      <c r="B87" s="29"/>
      <c r="C87" s="29" t="b">
        <f t="shared" si="3"/>
        <v>1</v>
      </c>
      <c r="D87" s="30" t="str">
        <f>Calculos!B193</f>
        <v>% de variación de la carga de trabajo en II Instancia en Tribunal de apelación Contencioso Administrativo con respecto al año anterior</v>
      </c>
      <c r="E87" s="31" t="s">
        <v>3178</v>
      </c>
      <c r="F87" s="31" t="s">
        <v>3693</v>
      </c>
      <c r="G87" s="31" t="s">
        <v>4188</v>
      </c>
      <c r="H87" s="32" t="s">
        <v>4182</v>
      </c>
      <c r="I87" s="31" t="s">
        <v>4183</v>
      </c>
      <c r="J87" s="28" t="s">
        <v>3710</v>
      </c>
      <c r="K87" s="28" t="s">
        <v>3696</v>
      </c>
      <c r="L87" s="28" t="s">
        <v>4107</v>
      </c>
      <c r="M87" s="28" t="s">
        <v>3698</v>
      </c>
      <c r="N87" s="33" t="s">
        <v>4061</v>
      </c>
      <c r="O87" s="28" t="s">
        <v>4064</v>
      </c>
      <c r="P87" s="28" t="s">
        <v>4018</v>
      </c>
      <c r="Q87" s="29"/>
    </row>
    <row r="88" spans="1:17" ht="25.5" x14ac:dyDescent="0.2">
      <c r="A88" s="28"/>
      <c r="B88" s="29"/>
      <c r="C88" s="29" t="b">
        <f t="shared" si="3"/>
        <v>1</v>
      </c>
      <c r="D88" s="30" t="str">
        <f>Calculos!B194</f>
        <v>% de variación de la carga de trabajo en II Instancia en Tribunal Agrario con respecto al año anterior</v>
      </c>
      <c r="E88" s="34" t="s">
        <v>3179</v>
      </c>
      <c r="F88" s="34" t="s">
        <v>3693</v>
      </c>
      <c r="G88" s="34" t="s">
        <v>4189</v>
      </c>
      <c r="H88" s="32" t="s">
        <v>4182</v>
      </c>
      <c r="I88" s="34" t="s">
        <v>4183</v>
      </c>
      <c r="J88" s="28" t="s">
        <v>3710</v>
      </c>
      <c r="K88" s="28" t="s">
        <v>3696</v>
      </c>
      <c r="L88" s="28" t="s">
        <v>4107</v>
      </c>
      <c r="M88" s="28" t="s">
        <v>3698</v>
      </c>
      <c r="N88" s="33" t="s">
        <v>4061</v>
      </c>
      <c r="O88" s="28" t="s">
        <v>3700</v>
      </c>
      <c r="P88" s="28" t="s">
        <v>4018</v>
      </c>
      <c r="Q88" s="29"/>
    </row>
    <row r="89" spans="1:17" ht="25.5" x14ac:dyDescent="0.2">
      <c r="A89" s="28"/>
      <c r="B89" s="29"/>
      <c r="C89" s="29" t="b">
        <f t="shared" si="3"/>
        <v>1</v>
      </c>
      <c r="D89" s="30" t="str">
        <f>Calculos!B195</f>
        <v>% de variación de la carga de trabajo en II Instancia en Tribunal de Familia con respecto al año anterior</v>
      </c>
      <c r="E89" s="31" t="s">
        <v>3180</v>
      </c>
      <c r="F89" s="31" t="s">
        <v>3693</v>
      </c>
      <c r="G89" s="31" t="s">
        <v>4190</v>
      </c>
      <c r="H89" s="32" t="s">
        <v>4182</v>
      </c>
      <c r="I89" s="31" t="s">
        <v>4183</v>
      </c>
      <c r="J89" s="28" t="s">
        <v>3710</v>
      </c>
      <c r="K89" s="28" t="s">
        <v>3696</v>
      </c>
      <c r="L89" s="28" t="s">
        <v>4107</v>
      </c>
      <c r="M89" s="28" t="s">
        <v>3698</v>
      </c>
      <c r="N89" s="33" t="s">
        <v>4061</v>
      </c>
      <c r="O89" s="28" t="s">
        <v>3700</v>
      </c>
      <c r="P89" s="28" t="s">
        <v>4018</v>
      </c>
      <c r="Q89" s="29"/>
    </row>
    <row r="90" spans="1:17" ht="25.5" x14ac:dyDescent="0.2">
      <c r="A90" s="28"/>
      <c r="B90" s="29"/>
      <c r="C90" s="29" t="b">
        <f t="shared" si="3"/>
        <v>1</v>
      </c>
      <c r="D90" s="30" t="str">
        <f>Calculos!B196</f>
        <v>% de variación de la carga de trabajo en II Instancia en Tribunal Penal Juvenil con respecto al año anterior</v>
      </c>
      <c r="E90" s="34" t="s">
        <v>3181</v>
      </c>
      <c r="F90" s="34" t="s">
        <v>3693</v>
      </c>
      <c r="G90" s="34" t="s">
        <v>4191</v>
      </c>
      <c r="H90" s="32" t="s">
        <v>4182</v>
      </c>
      <c r="I90" s="34" t="s">
        <v>4183</v>
      </c>
      <c r="J90" s="28" t="s">
        <v>3710</v>
      </c>
      <c r="K90" s="28" t="s">
        <v>3696</v>
      </c>
      <c r="L90" s="28" t="s">
        <v>4107</v>
      </c>
      <c r="M90" s="28" t="s">
        <v>3698</v>
      </c>
      <c r="N90" s="33" t="s">
        <v>4061</v>
      </c>
      <c r="O90" s="28" t="s">
        <v>3700</v>
      </c>
      <c r="P90" s="28" t="s">
        <v>4018</v>
      </c>
      <c r="Q90" s="29"/>
    </row>
    <row r="91" spans="1:17" ht="25.5" x14ac:dyDescent="0.2">
      <c r="A91" s="28"/>
      <c r="B91" s="29"/>
      <c r="C91" s="29" t="b">
        <f t="shared" si="3"/>
        <v>1</v>
      </c>
      <c r="D91" s="30" t="str">
        <f>Calculos!B197</f>
        <v>% de variación de la carga de trabajo en II Instancia en Tribunal Notarial con respecto al año anterior</v>
      </c>
      <c r="E91" s="31" t="s">
        <v>3182</v>
      </c>
      <c r="F91" s="31" t="s">
        <v>3693</v>
      </c>
      <c r="G91" s="31" t="s">
        <v>4192</v>
      </c>
      <c r="H91" s="32" t="s">
        <v>4182</v>
      </c>
      <c r="I91" s="31" t="s">
        <v>4183</v>
      </c>
      <c r="J91" s="28" t="s">
        <v>3710</v>
      </c>
      <c r="K91" s="28" t="s">
        <v>3696</v>
      </c>
      <c r="L91" s="28" t="s">
        <v>4107</v>
      </c>
      <c r="M91" s="28" t="s">
        <v>3698</v>
      </c>
      <c r="N91" s="33" t="s">
        <v>4061</v>
      </c>
      <c r="O91" s="28" t="s">
        <v>3700</v>
      </c>
      <c r="P91" s="28" t="s">
        <v>4018</v>
      </c>
      <c r="Q91" s="29"/>
    </row>
    <row r="92" spans="1:17" ht="25.5" x14ac:dyDescent="0.2">
      <c r="A92" s="28"/>
      <c r="B92" s="29"/>
      <c r="C92" s="29" t="b">
        <f t="shared" si="3"/>
        <v>1</v>
      </c>
      <c r="D92" s="30" t="str">
        <f>Calculos!B198</f>
        <v>% de variación de la carga de trabajo en II Instancia en la Dirección Nacional de Notariado con respecto al año anterior</v>
      </c>
      <c r="E92" s="34" t="s">
        <v>3183</v>
      </c>
      <c r="F92" s="34" t="s">
        <v>3693</v>
      </c>
      <c r="G92" s="34" t="s">
        <v>4193</v>
      </c>
      <c r="H92" s="32" t="s">
        <v>4182</v>
      </c>
      <c r="I92" s="34" t="s">
        <v>4183</v>
      </c>
      <c r="J92" s="28" t="s">
        <v>3710</v>
      </c>
      <c r="K92" s="28" t="s">
        <v>3696</v>
      </c>
      <c r="L92" s="28" t="s">
        <v>4107</v>
      </c>
      <c r="M92" s="28" t="s">
        <v>3698</v>
      </c>
      <c r="N92" s="33" t="s">
        <v>4061</v>
      </c>
      <c r="O92" s="28" t="s">
        <v>3700</v>
      </c>
      <c r="P92" s="28" t="s">
        <v>4018</v>
      </c>
      <c r="Q92" s="29"/>
    </row>
    <row r="93" spans="1:17" ht="25.5" x14ac:dyDescent="0.2">
      <c r="A93" s="28"/>
      <c r="B93" s="29"/>
      <c r="C93" s="29" t="b">
        <f t="shared" si="3"/>
        <v>1</v>
      </c>
      <c r="D93" s="30" t="str">
        <f>Calculos!B199</f>
        <v>% de variación de la carga de trabajo en casación con respecto al año anterior</v>
      </c>
      <c r="E93" s="31" t="s">
        <v>3184</v>
      </c>
      <c r="F93" s="31" t="s">
        <v>3693</v>
      </c>
      <c r="G93" s="31" t="s">
        <v>4194</v>
      </c>
      <c r="H93" s="32" t="s">
        <v>4182</v>
      </c>
      <c r="I93" s="31" t="s">
        <v>4183</v>
      </c>
      <c r="J93" s="28" t="s">
        <v>3710</v>
      </c>
      <c r="K93" s="28" t="s">
        <v>3696</v>
      </c>
      <c r="L93" s="28" t="s">
        <v>3873</v>
      </c>
      <c r="M93" s="28" t="s">
        <v>3698</v>
      </c>
      <c r="N93" s="33" t="s">
        <v>4061</v>
      </c>
      <c r="O93" s="28" t="s">
        <v>3700</v>
      </c>
      <c r="P93" s="28" t="s">
        <v>4018</v>
      </c>
      <c r="Q93" s="29"/>
    </row>
    <row r="94" spans="1:17" ht="25.5" x14ac:dyDescent="0.2">
      <c r="A94" s="28"/>
      <c r="B94" s="29"/>
      <c r="C94" s="29" t="b">
        <f t="shared" si="3"/>
        <v>1</v>
      </c>
      <c r="D94" s="30" t="str">
        <f>Calculos!B200</f>
        <v>% de variación de la carga de trabajo en Sala I con respecto al año anterior</v>
      </c>
      <c r="E94" s="34" t="s">
        <v>3185</v>
      </c>
      <c r="F94" s="34" t="s">
        <v>3693</v>
      </c>
      <c r="G94" s="34" t="s">
        <v>4195</v>
      </c>
      <c r="H94" s="32" t="s">
        <v>4182</v>
      </c>
      <c r="I94" s="34" t="s">
        <v>4183</v>
      </c>
      <c r="J94" s="28" t="s">
        <v>3710</v>
      </c>
      <c r="K94" s="28" t="s">
        <v>3696</v>
      </c>
      <c r="L94" s="28" t="s">
        <v>4107</v>
      </c>
      <c r="M94" s="28" t="s">
        <v>3698</v>
      </c>
      <c r="N94" s="33" t="s">
        <v>4061</v>
      </c>
      <c r="O94" s="28" t="s">
        <v>3700</v>
      </c>
      <c r="P94" s="28" t="s">
        <v>4018</v>
      </c>
      <c r="Q94" s="29"/>
    </row>
    <row r="95" spans="1:17" ht="25.5" x14ac:dyDescent="0.2">
      <c r="A95" s="28"/>
      <c r="B95" s="29"/>
      <c r="C95" s="29" t="b">
        <f t="shared" si="3"/>
        <v>1</v>
      </c>
      <c r="D95" s="30" t="str">
        <f>Calculos!B201</f>
        <v>% de variación de la carga de trabajo en Sala I, Tribunal de Casación de lo Contencioso Administrativo con respecto al año anterior</v>
      </c>
      <c r="E95" s="31" t="s">
        <v>3186</v>
      </c>
      <c r="F95" s="31" t="s">
        <v>3693</v>
      </c>
      <c r="G95" s="31" t="s">
        <v>4196</v>
      </c>
      <c r="H95" s="32" t="s">
        <v>4182</v>
      </c>
      <c r="I95" s="31" t="s">
        <v>4183</v>
      </c>
      <c r="J95" s="28" t="s">
        <v>3710</v>
      </c>
      <c r="K95" s="28" t="s">
        <v>3696</v>
      </c>
      <c r="L95" s="28" t="s">
        <v>4107</v>
      </c>
      <c r="M95" s="28" t="s">
        <v>3698</v>
      </c>
      <c r="N95" s="33" t="s">
        <v>4061</v>
      </c>
      <c r="O95" s="28" t="s">
        <v>4137</v>
      </c>
      <c r="P95" s="28" t="s">
        <v>4018</v>
      </c>
      <c r="Q95" s="29"/>
    </row>
    <row r="96" spans="1:17" ht="25.5" x14ac:dyDescent="0.2">
      <c r="A96" s="28"/>
      <c r="B96" s="29"/>
      <c r="C96" s="29" t="b">
        <f t="shared" si="3"/>
        <v>1</v>
      </c>
      <c r="D96" s="30" t="str">
        <f>Calculos!B202</f>
        <v>% de variación de la carga de trabajo en Sala II con respecto al año anterior</v>
      </c>
      <c r="E96" s="34" t="s">
        <v>3187</v>
      </c>
      <c r="F96" s="34" t="s">
        <v>3693</v>
      </c>
      <c r="G96" s="34" t="s">
        <v>4197</v>
      </c>
      <c r="H96" s="32" t="s">
        <v>4182</v>
      </c>
      <c r="I96" s="34" t="s">
        <v>4183</v>
      </c>
      <c r="J96" s="28" t="s">
        <v>3710</v>
      </c>
      <c r="K96" s="28" t="s">
        <v>3696</v>
      </c>
      <c r="L96" s="28" t="s">
        <v>4107</v>
      </c>
      <c r="M96" s="28" t="s">
        <v>3698</v>
      </c>
      <c r="N96" s="33" t="s">
        <v>4061</v>
      </c>
      <c r="O96" s="28" t="s">
        <v>3700</v>
      </c>
      <c r="P96" s="28" t="s">
        <v>4018</v>
      </c>
      <c r="Q96" s="29"/>
    </row>
    <row r="97" spans="1:17" ht="25.5" x14ac:dyDescent="0.2">
      <c r="A97" s="28"/>
      <c r="B97" s="29"/>
      <c r="C97" s="29" t="b">
        <f t="shared" si="3"/>
        <v>1</v>
      </c>
      <c r="D97" s="30" t="str">
        <f>Calculos!B203</f>
        <v>% de variación de la carga de trabajo en Sala III con respecto al año anterior</v>
      </c>
      <c r="E97" s="31" t="s">
        <v>3188</v>
      </c>
      <c r="F97" s="31" t="s">
        <v>3693</v>
      </c>
      <c r="G97" s="31" t="s">
        <v>4198</v>
      </c>
      <c r="H97" s="32" t="s">
        <v>4182</v>
      </c>
      <c r="I97" s="31" t="s">
        <v>4183</v>
      </c>
      <c r="J97" s="28" t="s">
        <v>3710</v>
      </c>
      <c r="K97" s="28" t="s">
        <v>3696</v>
      </c>
      <c r="L97" s="28" t="s">
        <v>4107</v>
      </c>
      <c r="M97" s="28" t="s">
        <v>3698</v>
      </c>
      <c r="N97" s="33" t="s">
        <v>4061</v>
      </c>
      <c r="O97" s="28" t="s">
        <v>3700</v>
      </c>
      <c r="P97" s="28" t="s">
        <v>4018</v>
      </c>
      <c r="Q97" s="29"/>
    </row>
    <row r="98" spans="1:17" ht="25.5" x14ac:dyDescent="0.2">
      <c r="A98" s="28"/>
      <c r="B98" s="29"/>
      <c r="C98" s="29" t="b">
        <f t="shared" si="3"/>
        <v>1</v>
      </c>
      <c r="D98" s="30" t="str">
        <f>Calculos!B204</f>
        <v>% de variación de la carga de trabajo en Sala III PJ con respecto al año anterior</v>
      </c>
      <c r="E98" s="34" t="s">
        <v>3189</v>
      </c>
      <c r="F98" s="34" t="s">
        <v>3693</v>
      </c>
      <c r="G98" s="34" t="s">
        <v>4199</v>
      </c>
      <c r="H98" s="32" t="s">
        <v>4182</v>
      </c>
      <c r="I98" s="34" t="s">
        <v>4183</v>
      </c>
      <c r="J98" s="28" t="s">
        <v>3710</v>
      </c>
      <c r="K98" s="28" t="s">
        <v>3696</v>
      </c>
      <c r="L98" s="28" t="s">
        <v>4107</v>
      </c>
      <c r="M98" s="28" t="s">
        <v>3698</v>
      </c>
      <c r="N98" s="33" t="s">
        <v>4061</v>
      </c>
      <c r="O98" s="28" t="s">
        <v>3740</v>
      </c>
      <c r="P98" s="28" t="s">
        <v>4018</v>
      </c>
      <c r="Q98" s="29"/>
    </row>
    <row r="99" spans="1:17" ht="25.5" x14ac:dyDescent="0.2">
      <c r="A99" s="28"/>
      <c r="B99" s="29"/>
      <c r="C99" s="29" t="b">
        <f t="shared" si="3"/>
        <v>1</v>
      </c>
      <c r="D99" s="30" t="str">
        <f>Calculos!B205</f>
        <v>% de variación de la carga de trabajo en Tribunal de casación penal con respecto al año anterior</v>
      </c>
      <c r="E99" s="31" t="s">
        <v>3190</v>
      </c>
      <c r="F99" s="31" t="s">
        <v>3693</v>
      </c>
      <c r="G99" s="31" t="s">
        <v>4200</v>
      </c>
      <c r="H99" s="32" t="s">
        <v>4182</v>
      </c>
      <c r="I99" s="31" t="s">
        <v>4183</v>
      </c>
      <c r="J99" s="28" t="s">
        <v>3710</v>
      </c>
      <c r="K99" s="28" t="s">
        <v>3696</v>
      </c>
      <c r="L99" s="28" t="s">
        <v>4107</v>
      </c>
      <c r="M99" s="28" t="s">
        <v>3698</v>
      </c>
      <c r="N99" s="33" t="s">
        <v>4061</v>
      </c>
      <c r="O99" s="28" t="s">
        <v>3700</v>
      </c>
      <c r="P99" s="28" t="s">
        <v>4018</v>
      </c>
      <c r="Q99" s="29"/>
    </row>
    <row r="100" spans="1:17" ht="25.5" x14ac:dyDescent="0.2">
      <c r="A100" s="28"/>
      <c r="B100" s="29"/>
      <c r="C100" s="29" t="b">
        <f t="shared" ref="C100:C106" si="4">D100=E100</f>
        <v>1</v>
      </c>
      <c r="D100" s="30" t="str">
        <f>Calculos!B206</f>
        <v>% de variación de la carga de trabajo en Tribunal de casación penal juvenil con respecto al año anterior</v>
      </c>
      <c r="E100" s="34" t="s">
        <v>3191</v>
      </c>
      <c r="F100" s="34" t="s">
        <v>3693</v>
      </c>
      <c r="G100" s="34" t="s">
        <v>4201</v>
      </c>
      <c r="H100" s="32" t="s">
        <v>4182</v>
      </c>
      <c r="I100" s="34" t="s">
        <v>4183</v>
      </c>
      <c r="J100" s="28" t="s">
        <v>3710</v>
      </c>
      <c r="K100" s="28" t="s">
        <v>3696</v>
      </c>
      <c r="L100" s="28" t="s">
        <v>4107</v>
      </c>
      <c r="M100" s="28" t="s">
        <v>3698</v>
      </c>
      <c r="N100" s="33" t="s">
        <v>4061</v>
      </c>
      <c r="O100" s="28" t="s">
        <v>3700</v>
      </c>
      <c r="P100" s="28" t="s">
        <v>4018</v>
      </c>
      <c r="Q100" s="29"/>
    </row>
    <row r="101" spans="1:17" ht="25.5" x14ac:dyDescent="0.2">
      <c r="A101" s="28"/>
      <c r="B101" s="29"/>
      <c r="C101" s="29" t="b">
        <f t="shared" si="4"/>
        <v>1</v>
      </c>
      <c r="D101" s="30" t="str">
        <f>Calculos!B207</f>
        <v>% de variación de la carga de trabajo en el programa de justicia restaurativa con respecto al año anterior</v>
      </c>
      <c r="E101" s="31" t="s">
        <v>3192</v>
      </c>
      <c r="F101" s="31" t="s">
        <v>3693</v>
      </c>
      <c r="G101" s="31" t="s">
        <v>4202</v>
      </c>
      <c r="H101" s="32" t="s">
        <v>4182</v>
      </c>
      <c r="I101" s="31" t="s">
        <v>4203</v>
      </c>
      <c r="J101" s="28" t="s">
        <v>3710</v>
      </c>
      <c r="K101" s="28" t="s">
        <v>3696</v>
      </c>
      <c r="L101" s="28" t="s">
        <v>3873</v>
      </c>
      <c r="M101" s="28" t="s">
        <v>3698</v>
      </c>
      <c r="N101" s="33" t="s">
        <v>4061</v>
      </c>
      <c r="O101" s="28" t="s">
        <v>3740</v>
      </c>
      <c r="P101" s="28" t="s">
        <v>4018</v>
      </c>
      <c r="Q101" s="29"/>
    </row>
    <row r="102" spans="1:17" ht="25.5" x14ac:dyDescent="0.2">
      <c r="A102" s="28"/>
      <c r="B102" s="29"/>
      <c r="C102" s="29" t="b">
        <f t="shared" si="4"/>
        <v>1</v>
      </c>
      <c r="D102" s="30" t="str">
        <f>Calculos!B208</f>
        <v>% de variación de la carga de trabajo en el OIJ con respecto al año anterior</v>
      </c>
      <c r="E102" s="34" t="s">
        <v>3193</v>
      </c>
      <c r="F102" s="34" t="s">
        <v>3693</v>
      </c>
      <c r="G102" s="34" t="s">
        <v>4204</v>
      </c>
      <c r="H102" s="32" t="s">
        <v>4182</v>
      </c>
      <c r="I102" s="34" t="s">
        <v>4205</v>
      </c>
      <c r="J102" s="28" t="s">
        <v>3710</v>
      </c>
      <c r="K102" s="28" t="s">
        <v>3696</v>
      </c>
      <c r="L102" s="28" t="s">
        <v>3873</v>
      </c>
      <c r="M102" s="28" t="s">
        <v>3698</v>
      </c>
      <c r="N102" s="33" t="s">
        <v>4061</v>
      </c>
      <c r="O102" s="28" t="s">
        <v>1078</v>
      </c>
      <c r="P102" s="28" t="s">
        <v>4018</v>
      </c>
      <c r="Q102" s="29"/>
    </row>
    <row r="103" spans="1:17" ht="25.5" x14ac:dyDescent="0.2">
      <c r="A103" s="28"/>
      <c r="B103" s="29"/>
      <c r="C103" s="29" t="b">
        <f t="shared" si="4"/>
        <v>1</v>
      </c>
      <c r="D103" s="30" t="str">
        <f>Calculos!B209</f>
        <v>% de variación de la carga de trabajo en Ciencias Forenses con respecto al año anterior</v>
      </c>
      <c r="E103" s="31" t="s">
        <v>3194</v>
      </c>
      <c r="F103" s="31" t="s">
        <v>3693</v>
      </c>
      <c r="G103" s="31" t="s">
        <v>4206</v>
      </c>
      <c r="H103" s="32" t="s">
        <v>4182</v>
      </c>
      <c r="I103" s="31" t="s">
        <v>4207</v>
      </c>
      <c r="J103" s="28" t="s">
        <v>3710</v>
      </c>
      <c r="K103" s="28" t="s">
        <v>3696</v>
      </c>
      <c r="L103" s="28" t="s">
        <v>3873</v>
      </c>
      <c r="M103" s="28" t="s">
        <v>3698</v>
      </c>
      <c r="N103" s="33" t="s">
        <v>4061</v>
      </c>
      <c r="O103" s="28" t="s">
        <v>3700</v>
      </c>
      <c r="P103" s="28" t="s">
        <v>4018</v>
      </c>
      <c r="Q103" s="29"/>
    </row>
    <row r="104" spans="1:17" ht="25.5" x14ac:dyDescent="0.2">
      <c r="A104" s="28"/>
      <c r="B104" s="29"/>
      <c r="C104" s="29" t="b">
        <f t="shared" si="4"/>
        <v>1</v>
      </c>
      <c r="D104" s="30" t="str">
        <f>Calculos!B210</f>
        <v>% de variación de la carga de trabajo en la Defensa Pública con respecto al año anterior</v>
      </c>
      <c r="E104" s="34" t="s">
        <v>3195</v>
      </c>
      <c r="F104" s="34" t="s">
        <v>3693</v>
      </c>
      <c r="G104" s="34" t="s">
        <v>4208</v>
      </c>
      <c r="H104" s="32" t="s">
        <v>4182</v>
      </c>
      <c r="I104" s="34" t="s">
        <v>4209</v>
      </c>
      <c r="J104" s="28" t="s">
        <v>3710</v>
      </c>
      <c r="K104" s="28" t="s">
        <v>3696</v>
      </c>
      <c r="L104" s="28" t="s">
        <v>3873</v>
      </c>
      <c r="M104" s="28" t="s">
        <v>3698</v>
      </c>
      <c r="N104" s="33" t="s">
        <v>4061</v>
      </c>
      <c r="O104" s="28" t="s">
        <v>3700</v>
      </c>
      <c r="P104" s="28" t="s">
        <v>4018</v>
      </c>
      <c r="Q104" s="29"/>
    </row>
    <row r="105" spans="1:17" ht="25.5" x14ac:dyDescent="0.2">
      <c r="A105" s="28"/>
      <c r="B105" s="29"/>
      <c r="C105" s="29" t="b">
        <f t="shared" si="4"/>
        <v>1</v>
      </c>
      <c r="D105" s="30" t="str">
        <f>Calculos!B211</f>
        <v>% de variación de la carga de trabajo en la Defensa Pública Laboral con respecto al año anterior</v>
      </c>
      <c r="E105" s="31" t="s">
        <v>3196</v>
      </c>
      <c r="F105" s="31" t="s">
        <v>3693</v>
      </c>
      <c r="G105" s="31" t="s">
        <v>4210</v>
      </c>
      <c r="H105" s="32" t="s">
        <v>4182</v>
      </c>
      <c r="I105" s="31" t="s">
        <v>4211</v>
      </c>
      <c r="J105" s="28" t="s">
        <v>3710</v>
      </c>
      <c r="K105" s="28" t="s">
        <v>3696</v>
      </c>
      <c r="L105" s="28" t="s">
        <v>3873</v>
      </c>
      <c r="M105" s="28" t="s">
        <v>3698</v>
      </c>
      <c r="N105" s="33" t="s">
        <v>4061</v>
      </c>
      <c r="O105" s="28" t="s">
        <v>4159</v>
      </c>
      <c r="P105" s="28" t="s">
        <v>4018</v>
      </c>
      <c r="Q105" s="29"/>
    </row>
    <row r="106" spans="1:17" ht="25.5" x14ac:dyDescent="0.2">
      <c r="A106" s="28"/>
      <c r="B106" s="29"/>
      <c r="C106" s="29" t="b">
        <f t="shared" si="4"/>
        <v>1</v>
      </c>
      <c r="D106" s="30" t="str">
        <f>Calculos!B212</f>
        <v>% de variación de la carga de trabajo en Atención y Protección a Víctimas y Testigos con respecto al año anterior</v>
      </c>
      <c r="E106" s="34" t="s">
        <v>3197</v>
      </c>
      <c r="F106" s="34" t="s">
        <v>3693</v>
      </c>
      <c r="G106" s="34" t="s">
        <v>4212</v>
      </c>
      <c r="H106" s="32" t="s">
        <v>4182</v>
      </c>
      <c r="I106" s="34" t="s">
        <v>4213</v>
      </c>
      <c r="J106" s="28" t="s">
        <v>3710</v>
      </c>
      <c r="K106" s="28" t="s">
        <v>3696</v>
      </c>
      <c r="L106" s="28" t="s">
        <v>3873</v>
      </c>
      <c r="M106" s="28" t="s">
        <v>3698</v>
      </c>
      <c r="N106" s="33" t="s">
        <v>4061</v>
      </c>
      <c r="O106" s="28" t="s">
        <v>4163</v>
      </c>
      <c r="P106" s="28" t="s">
        <v>4018</v>
      </c>
      <c r="Q106" s="29"/>
    </row>
    <row r="107" spans="1:17" x14ac:dyDescent="0.2">
      <c r="B107" s="19"/>
      <c r="C107" s="19"/>
      <c r="D107" s="16"/>
      <c r="Q107" s="15"/>
    </row>
    <row r="108" spans="1:17" x14ac:dyDescent="0.2">
      <c r="B108" s="19"/>
      <c r="C108" s="19"/>
      <c r="D108" s="16"/>
      <c r="Q108" s="15"/>
    </row>
    <row r="109" spans="1:17" x14ac:dyDescent="0.2">
      <c r="B109" s="19"/>
      <c r="C109" s="19"/>
      <c r="D109" s="16"/>
      <c r="Q109" s="15"/>
    </row>
    <row r="110" spans="1:17" x14ac:dyDescent="0.2">
      <c r="B110" s="19"/>
      <c r="C110" s="19"/>
      <c r="D110" s="16"/>
      <c r="Q110" s="15"/>
    </row>
    <row r="111" spans="1:17" x14ac:dyDescent="0.2">
      <c r="B111" s="19"/>
      <c r="C111" s="19"/>
      <c r="D111" s="16"/>
      <c r="Q111" s="15"/>
    </row>
    <row r="112" spans="1:17" x14ac:dyDescent="0.2">
      <c r="B112" s="19"/>
      <c r="C112" s="19"/>
      <c r="D112" s="16"/>
      <c r="Q112" s="15"/>
    </row>
    <row r="113" spans="2:17" x14ac:dyDescent="0.2">
      <c r="B113" s="19"/>
      <c r="C113" s="19"/>
      <c r="D113" s="16"/>
      <c r="Q113" s="15"/>
    </row>
    <row r="114" spans="2:17" x14ac:dyDescent="0.2">
      <c r="B114" s="19"/>
      <c r="C114" s="19"/>
      <c r="D114" s="16"/>
      <c r="Q114" s="15"/>
    </row>
    <row r="115" spans="2:17" x14ac:dyDescent="0.2">
      <c r="B115" s="19"/>
      <c r="C115" s="19"/>
      <c r="D115" s="16"/>
    </row>
    <row r="116" spans="2:17" x14ac:dyDescent="0.2">
      <c r="B116" s="19"/>
      <c r="C116" s="19"/>
      <c r="D116" s="16"/>
    </row>
    <row r="117" spans="2:17" x14ac:dyDescent="0.2">
      <c r="B117" s="19"/>
      <c r="C117" s="19"/>
      <c r="D117" s="16"/>
    </row>
    <row r="118" spans="2:17" x14ac:dyDescent="0.2">
      <c r="B118" s="19"/>
      <c r="C118" s="19"/>
      <c r="D118" s="16"/>
    </row>
    <row r="119" spans="2:17" x14ac:dyDescent="0.2">
      <c r="B119" s="19"/>
      <c r="C119" s="19"/>
      <c r="D119" s="16"/>
    </row>
    <row r="120" spans="2:17" x14ac:dyDescent="0.2">
      <c r="B120" s="19"/>
      <c r="C120" s="19"/>
      <c r="D120" s="16"/>
    </row>
    <row r="121" spans="2:17" x14ac:dyDescent="0.2">
      <c r="B121" s="19"/>
      <c r="C121" s="19"/>
      <c r="D121" s="16"/>
    </row>
    <row r="122" spans="2:17" x14ac:dyDescent="0.2">
      <c r="B122" s="19"/>
      <c r="C122" s="19"/>
      <c r="D122" s="16"/>
    </row>
    <row r="123" spans="2:17" x14ac:dyDescent="0.2">
      <c r="B123" s="19"/>
      <c r="C123" s="19"/>
      <c r="D123" s="16"/>
    </row>
    <row r="124" spans="2:17" x14ac:dyDescent="0.2">
      <c r="B124" s="19"/>
      <c r="C124" s="19"/>
      <c r="D124" s="16"/>
    </row>
    <row r="125" spans="2:17" x14ac:dyDescent="0.2">
      <c r="B125" s="19"/>
      <c r="C125" s="19"/>
      <c r="D125" s="16"/>
    </row>
    <row r="126" spans="2:17" x14ac:dyDescent="0.2">
      <c r="B126" s="19"/>
      <c r="C126" s="19"/>
      <c r="D126" s="16"/>
    </row>
    <row r="127" spans="2:17" x14ac:dyDescent="0.2">
      <c r="B127" s="19"/>
      <c r="C127" s="19"/>
      <c r="D127" s="16"/>
    </row>
    <row r="128" spans="2:17" x14ac:dyDescent="0.2">
      <c r="B128" s="19"/>
      <c r="C128" s="19"/>
      <c r="D128" s="16"/>
    </row>
    <row r="129" spans="2:4" x14ac:dyDescent="0.2">
      <c r="B129" s="19"/>
      <c r="C129" s="19"/>
      <c r="D129" s="16"/>
    </row>
    <row r="130" spans="2:4" x14ac:dyDescent="0.2">
      <c r="B130" s="19"/>
      <c r="C130" s="19"/>
      <c r="D130" s="16"/>
    </row>
    <row r="131" spans="2:4" x14ac:dyDescent="0.2">
      <c r="B131" s="19"/>
      <c r="C131" s="19"/>
      <c r="D131" s="16"/>
    </row>
    <row r="132" spans="2:4" x14ac:dyDescent="0.2">
      <c r="B132" s="19"/>
      <c r="C132" s="19"/>
      <c r="D132" s="16"/>
    </row>
    <row r="133" spans="2:4" x14ac:dyDescent="0.2">
      <c r="B133" s="19"/>
      <c r="C133" s="19"/>
      <c r="D133" s="16"/>
    </row>
    <row r="134" spans="2:4" x14ac:dyDescent="0.2">
      <c r="B134" s="19"/>
      <c r="C134" s="19"/>
      <c r="D134" s="16"/>
    </row>
    <row r="135" spans="2:4" x14ac:dyDescent="0.2">
      <c r="B135" s="19"/>
      <c r="C135" s="19"/>
      <c r="D135" s="16"/>
    </row>
    <row r="136" spans="2:4" x14ac:dyDescent="0.2">
      <c r="B136" s="19"/>
      <c r="C136" s="19"/>
      <c r="D136" s="16"/>
    </row>
    <row r="137" spans="2:4" x14ac:dyDescent="0.2">
      <c r="B137" s="19"/>
      <c r="C137" s="19"/>
      <c r="D137" s="16"/>
    </row>
    <row r="138" spans="2:4" x14ac:dyDescent="0.2">
      <c r="B138" s="19"/>
      <c r="C138" s="19"/>
      <c r="D138" s="16"/>
    </row>
    <row r="139" spans="2:4" x14ac:dyDescent="0.2">
      <c r="B139" s="19"/>
      <c r="C139" s="19"/>
      <c r="D139" s="16"/>
    </row>
    <row r="140" spans="2:4" x14ac:dyDescent="0.2">
      <c r="B140" s="19"/>
      <c r="C140" s="19"/>
      <c r="D140" s="16"/>
    </row>
    <row r="141" spans="2:4" x14ac:dyDescent="0.2">
      <c r="B141" s="19"/>
      <c r="C141" s="19"/>
      <c r="D141" s="16"/>
    </row>
    <row r="142" spans="2:4" x14ac:dyDescent="0.2">
      <c r="B142" s="19"/>
      <c r="C142" s="19"/>
      <c r="D142" s="16"/>
    </row>
    <row r="143" spans="2:4" x14ac:dyDescent="0.2">
      <c r="B143" s="19"/>
      <c r="C143" s="19"/>
      <c r="D143" s="16"/>
    </row>
    <row r="144" spans="2:4" x14ac:dyDescent="0.2">
      <c r="B144" s="19"/>
      <c r="C144" s="19"/>
      <c r="D144" s="16"/>
    </row>
    <row r="145" spans="2:4" x14ac:dyDescent="0.2">
      <c r="B145" s="19"/>
      <c r="C145" s="19"/>
      <c r="D145" s="16"/>
    </row>
    <row r="146" spans="2:4" x14ac:dyDescent="0.2">
      <c r="B146" s="19"/>
      <c r="C146" s="19"/>
      <c r="D146" s="16"/>
    </row>
    <row r="147" spans="2:4" x14ac:dyDescent="0.2">
      <c r="B147" s="19"/>
      <c r="C147" s="19"/>
      <c r="D147" s="16"/>
    </row>
    <row r="148" spans="2:4" x14ac:dyDescent="0.2">
      <c r="B148" s="19"/>
      <c r="C148" s="19"/>
      <c r="D148" s="16"/>
    </row>
    <row r="149" spans="2:4" x14ac:dyDescent="0.2">
      <c r="B149" s="19"/>
      <c r="C149" s="19"/>
      <c r="D149" s="16"/>
    </row>
    <row r="150" spans="2:4" x14ac:dyDescent="0.2">
      <c r="B150" s="19"/>
      <c r="C150" s="19"/>
      <c r="D150" s="16"/>
    </row>
    <row r="151" spans="2:4" x14ac:dyDescent="0.2">
      <c r="B151" s="19"/>
      <c r="C151" s="19"/>
      <c r="D151" s="16"/>
    </row>
    <row r="152" spans="2:4" x14ac:dyDescent="0.2">
      <c r="B152" s="19"/>
      <c r="C152" s="19"/>
      <c r="D152" s="16"/>
    </row>
    <row r="153" spans="2:4" x14ac:dyDescent="0.2">
      <c r="B153" s="19"/>
      <c r="C153" s="19"/>
      <c r="D153" s="16"/>
    </row>
    <row r="154" spans="2:4" x14ac:dyDescent="0.2">
      <c r="B154" s="19"/>
      <c r="C154" s="19"/>
      <c r="D154" s="16"/>
    </row>
    <row r="155" spans="2:4" x14ac:dyDescent="0.2">
      <c r="B155" s="19"/>
      <c r="C155" s="19"/>
      <c r="D155" s="16"/>
    </row>
    <row r="156" spans="2:4" x14ac:dyDescent="0.2">
      <c r="B156" s="19"/>
      <c r="C156" s="19"/>
      <c r="D156" s="16"/>
    </row>
    <row r="157" spans="2:4" x14ac:dyDescent="0.2">
      <c r="B157" s="19"/>
      <c r="C157" s="19"/>
      <c r="D157" s="16"/>
    </row>
    <row r="158" spans="2:4" x14ac:dyDescent="0.2">
      <c r="B158" s="19"/>
      <c r="C158" s="19"/>
      <c r="D158" s="16"/>
    </row>
    <row r="159" spans="2:4" x14ac:dyDescent="0.2">
      <c r="B159" s="19"/>
      <c r="C159" s="19"/>
      <c r="D159" s="16"/>
    </row>
    <row r="160" spans="2:4" x14ac:dyDescent="0.2">
      <c r="B160" s="19"/>
      <c r="C160" s="19"/>
      <c r="D160" s="16"/>
    </row>
    <row r="161" spans="2:4" x14ac:dyDescent="0.2">
      <c r="B161" s="19"/>
      <c r="C161" s="19"/>
      <c r="D161" s="16"/>
    </row>
    <row r="162" spans="2:4" x14ac:dyDescent="0.2">
      <c r="B162" s="19"/>
      <c r="C162" s="19"/>
      <c r="D162" s="16"/>
    </row>
    <row r="163" spans="2:4" x14ac:dyDescent="0.2">
      <c r="B163" s="19"/>
      <c r="C163" s="19"/>
      <c r="D163" s="16"/>
    </row>
    <row r="164" spans="2:4" x14ac:dyDescent="0.2">
      <c r="B164" s="19"/>
      <c r="C164" s="19"/>
      <c r="D164" s="16"/>
    </row>
    <row r="165" spans="2:4" x14ac:dyDescent="0.2">
      <c r="B165" s="19"/>
      <c r="C165" s="19"/>
      <c r="D165" s="16"/>
    </row>
    <row r="166" spans="2:4" x14ac:dyDescent="0.2">
      <c r="B166" s="19"/>
      <c r="C166" s="19"/>
      <c r="D166" s="16"/>
    </row>
    <row r="167" spans="2:4" x14ac:dyDescent="0.2">
      <c r="B167" s="19"/>
      <c r="C167" s="19"/>
      <c r="D167" s="16"/>
    </row>
    <row r="168" spans="2:4" x14ac:dyDescent="0.2">
      <c r="B168" s="19"/>
      <c r="C168" s="19"/>
      <c r="D168" s="16"/>
    </row>
    <row r="169" spans="2:4" x14ac:dyDescent="0.2">
      <c r="B169" s="19"/>
      <c r="C169" s="19"/>
      <c r="D169" s="16"/>
    </row>
    <row r="170" spans="2:4" x14ac:dyDescent="0.2">
      <c r="B170" s="19"/>
      <c r="C170" s="19"/>
      <c r="D170" s="16"/>
    </row>
    <row r="171" spans="2:4" x14ac:dyDescent="0.2">
      <c r="B171" s="19"/>
      <c r="C171" s="19"/>
      <c r="D171" s="16"/>
    </row>
    <row r="172" spans="2:4" x14ac:dyDescent="0.2">
      <c r="B172" s="19"/>
      <c r="C172" s="19"/>
      <c r="D172" s="16"/>
    </row>
    <row r="173" spans="2:4" x14ac:dyDescent="0.2">
      <c r="B173" s="19"/>
      <c r="C173" s="19"/>
      <c r="D173" s="16"/>
    </row>
    <row r="174" spans="2:4" x14ac:dyDescent="0.2">
      <c r="B174" s="19"/>
      <c r="C174" s="19"/>
      <c r="D174" s="16"/>
    </row>
    <row r="175" spans="2:4" x14ac:dyDescent="0.2">
      <c r="B175" s="19"/>
      <c r="C175" s="19"/>
      <c r="D175" s="16"/>
    </row>
    <row r="176" spans="2:4" x14ac:dyDescent="0.2">
      <c r="B176" s="19"/>
      <c r="C176" s="19"/>
      <c r="D176" s="16"/>
    </row>
    <row r="177" spans="2:4" x14ac:dyDescent="0.2">
      <c r="B177" s="19"/>
      <c r="C177" s="19"/>
      <c r="D177" s="16"/>
    </row>
    <row r="178" spans="2:4" x14ac:dyDescent="0.2">
      <c r="B178" s="19"/>
      <c r="C178" s="19"/>
      <c r="D178" s="16"/>
    </row>
    <row r="179" spans="2:4" x14ac:dyDescent="0.2">
      <c r="B179" s="19"/>
      <c r="C179" s="19"/>
      <c r="D179" s="16"/>
    </row>
    <row r="180" spans="2:4" x14ac:dyDescent="0.2">
      <c r="B180" s="19"/>
      <c r="C180" s="19"/>
      <c r="D180" s="16"/>
    </row>
    <row r="181" spans="2:4" x14ac:dyDescent="0.2">
      <c r="B181" s="19"/>
      <c r="C181" s="19"/>
      <c r="D181" s="16"/>
    </row>
    <row r="182" spans="2:4" x14ac:dyDescent="0.2">
      <c r="B182" s="19"/>
      <c r="C182" s="19"/>
      <c r="D182" s="16"/>
    </row>
    <row r="183" spans="2:4" x14ac:dyDescent="0.2">
      <c r="B183" s="19"/>
      <c r="C183" s="19"/>
      <c r="D183" s="16"/>
    </row>
    <row r="184" spans="2:4" x14ac:dyDescent="0.2">
      <c r="B184" s="19"/>
      <c r="C184" s="19"/>
      <c r="D184" s="16"/>
    </row>
    <row r="185" spans="2:4" x14ac:dyDescent="0.2">
      <c r="B185" s="19"/>
      <c r="C185" s="19"/>
      <c r="D185" s="16"/>
    </row>
    <row r="186" spans="2:4" x14ac:dyDescent="0.2">
      <c r="B186" s="19"/>
      <c r="C186" s="19"/>
      <c r="D186" s="16"/>
    </row>
    <row r="187" spans="2:4" x14ac:dyDescent="0.2">
      <c r="B187" s="19"/>
      <c r="C187" s="19"/>
      <c r="D187" s="16"/>
    </row>
    <row r="188" spans="2:4" x14ac:dyDescent="0.2">
      <c r="B188" s="19"/>
      <c r="C188" s="19"/>
      <c r="D188" s="16"/>
    </row>
    <row r="189" spans="2:4" x14ac:dyDescent="0.2">
      <c r="B189" s="19"/>
      <c r="C189" s="19"/>
      <c r="D189" s="16"/>
    </row>
    <row r="190" spans="2:4" x14ac:dyDescent="0.2">
      <c r="B190" s="19"/>
      <c r="C190" s="19"/>
      <c r="D190" s="16"/>
    </row>
    <row r="191" spans="2:4" x14ac:dyDescent="0.2">
      <c r="B191" s="19"/>
      <c r="C191" s="19"/>
      <c r="D191" s="16"/>
    </row>
    <row r="192" spans="2:4" x14ac:dyDescent="0.2">
      <c r="B192" s="19"/>
      <c r="C192" s="19"/>
      <c r="D192" s="16"/>
    </row>
    <row r="193" spans="2:4" x14ac:dyDescent="0.2">
      <c r="B193" s="19"/>
      <c r="C193" s="19"/>
      <c r="D193" s="16"/>
    </row>
    <row r="194" spans="2:4" x14ac:dyDescent="0.2">
      <c r="B194" s="19"/>
      <c r="C194" s="19"/>
      <c r="D194" s="16"/>
    </row>
    <row r="195" spans="2:4" x14ac:dyDescent="0.2">
      <c r="B195" s="19"/>
      <c r="C195" s="19"/>
      <c r="D195" s="16"/>
    </row>
    <row r="196" spans="2:4" x14ac:dyDescent="0.2">
      <c r="B196" s="19"/>
      <c r="C196" s="19"/>
      <c r="D196" s="16"/>
    </row>
    <row r="197" spans="2:4" x14ac:dyDescent="0.2">
      <c r="B197" s="19"/>
      <c r="C197" s="19"/>
      <c r="D197" s="16"/>
    </row>
    <row r="198" spans="2:4" x14ac:dyDescent="0.2">
      <c r="B198" s="19"/>
      <c r="C198" s="19"/>
      <c r="D198" s="16"/>
    </row>
    <row r="199" spans="2:4" x14ac:dyDescent="0.2">
      <c r="B199" s="19"/>
      <c r="C199" s="19"/>
      <c r="D199" s="16"/>
    </row>
    <row r="200" spans="2:4" x14ac:dyDescent="0.2">
      <c r="B200" s="19"/>
      <c r="C200" s="19"/>
      <c r="D200" s="16"/>
    </row>
    <row r="201" spans="2:4" x14ac:dyDescent="0.2">
      <c r="B201" s="19"/>
      <c r="C201" s="19"/>
      <c r="D201" s="16"/>
    </row>
    <row r="202" spans="2:4" x14ac:dyDescent="0.2">
      <c r="B202" s="19"/>
      <c r="C202" s="19"/>
      <c r="D202" s="16"/>
    </row>
    <row r="203" spans="2:4" x14ac:dyDescent="0.2">
      <c r="B203" s="19"/>
      <c r="C203" s="19"/>
      <c r="D203" s="16"/>
    </row>
    <row r="204" spans="2:4" x14ac:dyDescent="0.2">
      <c r="B204" s="19"/>
      <c r="C204" s="19"/>
      <c r="D204" s="16"/>
    </row>
    <row r="205" spans="2:4" x14ac:dyDescent="0.2">
      <c r="B205" s="19"/>
      <c r="C205" s="19"/>
      <c r="D205" s="16"/>
    </row>
    <row r="206" spans="2:4" x14ac:dyDescent="0.2">
      <c r="B206" s="19"/>
      <c r="C206" s="19"/>
      <c r="D206" s="16"/>
    </row>
    <row r="207" spans="2:4" x14ac:dyDescent="0.2">
      <c r="B207" s="19"/>
      <c r="C207" s="19"/>
      <c r="D207" s="16"/>
    </row>
    <row r="208" spans="2:4" x14ac:dyDescent="0.2">
      <c r="B208" s="19"/>
      <c r="C208" s="19"/>
      <c r="D208" s="16"/>
    </row>
    <row r="209" spans="2:4" x14ac:dyDescent="0.2">
      <c r="B209" s="19"/>
      <c r="C209" s="19"/>
      <c r="D209" s="16"/>
    </row>
    <row r="210" spans="2:4" x14ac:dyDescent="0.2">
      <c r="B210" s="19"/>
      <c r="C210" s="19"/>
      <c r="D210" s="16"/>
    </row>
    <row r="211" spans="2:4" x14ac:dyDescent="0.2">
      <c r="B211" s="19"/>
      <c r="C211" s="19"/>
      <c r="D211" s="16"/>
    </row>
    <row r="212" spans="2:4" x14ac:dyDescent="0.2">
      <c r="B212" s="19"/>
      <c r="C212" s="19"/>
      <c r="D212" s="16"/>
    </row>
    <row r="213" spans="2:4" x14ac:dyDescent="0.2">
      <c r="B213" s="19"/>
      <c r="C213" s="19"/>
      <c r="D213" s="16"/>
    </row>
    <row r="214" spans="2:4" x14ac:dyDescent="0.2">
      <c r="B214" s="19"/>
      <c r="C214" s="19"/>
      <c r="D214" s="16"/>
    </row>
    <row r="215" spans="2:4" x14ac:dyDescent="0.2">
      <c r="B215" s="19"/>
      <c r="C215" s="19"/>
      <c r="D215" s="16"/>
    </row>
    <row r="216" spans="2:4" x14ac:dyDescent="0.2">
      <c r="B216" s="19"/>
      <c r="C216" s="19"/>
      <c r="D216" s="16"/>
    </row>
    <row r="217" spans="2:4" x14ac:dyDescent="0.2">
      <c r="B217" s="19"/>
      <c r="C217" s="19"/>
      <c r="D217" s="16"/>
    </row>
    <row r="218" spans="2:4" x14ac:dyDescent="0.2">
      <c r="B218" s="19"/>
      <c r="C218" s="19"/>
      <c r="D218" s="16"/>
    </row>
    <row r="219" spans="2:4" x14ac:dyDescent="0.2">
      <c r="B219" s="19"/>
      <c r="C219" s="19"/>
      <c r="D219" s="16"/>
    </row>
    <row r="220" spans="2:4" x14ac:dyDescent="0.2">
      <c r="B220" s="19"/>
      <c r="C220" s="19"/>
      <c r="D220" s="16"/>
    </row>
    <row r="221" spans="2:4" x14ac:dyDescent="0.2">
      <c r="B221" s="19"/>
      <c r="C221" s="19"/>
      <c r="D221" s="16"/>
    </row>
    <row r="222" spans="2:4" x14ac:dyDescent="0.2">
      <c r="B222" s="19"/>
      <c r="C222" s="19"/>
      <c r="D222" s="16"/>
    </row>
    <row r="223" spans="2:4" x14ac:dyDescent="0.2">
      <c r="B223" s="19"/>
      <c r="C223" s="19"/>
      <c r="D223" s="16"/>
    </row>
    <row r="224" spans="2:4" x14ac:dyDescent="0.2">
      <c r="B224" s="19"/>
      <c r="C224" s="19"/>
      <c r="D224" s="16"/>
    </row>
    <row r="225" spans="2:4" x14ac:dyDescent="0.2">
      <c r="B225" s="19"/>
      <c r="C225" s="19"/>
      <c r="D225" s="16"/>
    </row>
    <row r="226" spans="2:4" x14ac:dyDescent="0.2">
      <c r="B226" s="19"/>
      <c r="C226" s="19"/>
      <c r="D226" s="16"/>
    </row>
    <row r="227" spans="2:4" x14ac:dyDescent="0.2">
      <c r="B227" s="19"/>
      <c r="C227" s="19"/>
      <c r="D227" s="16"/>
    </row>
    <row r="228" spans="2:4" x14ac:dyDescent="0.2">
      <c r="B228" s="19"/>
      <c r="C228" s="19"/>
      <c r="D228" s="16"/>
    </row>
    <row r="229" spans="2:4" x14ac:dyDescent="0.2">
      <c r="B229" s="19"/>
      <c r="C229" s="19"/>
      <c r="D229" s="16"/>
    </row>
    <row r="230" spans="2:4" x14ac:dyDescent="0.2">
      <c r="B230" s="19"/>
      <c r="C230" s="19"/>
      <c r="D230" s="16"/>
    </row>
    <row r="231" spans="2:4" x14ac:dyDescent="0.2">
      <c r="B231" s="19"/>
      <c r="C231" s="19"/>
      <c r="D231" s="16"/>
    </row>
    <row r="232" spans="2:4" x14ac:dyDescent="0.2">
      <c r="B232" s="19"/>
      <c r="C232" s="19"/>
      <c r="D232" s="16"/>
    </row>
    <row r="233" spans="2:4" x14ac:dyDescent="0.2">
      <c r="B233" s="19"/>
      <c r="C233" s="19"/>
      <c r="D233" s="16"/>
    </row>
    <row r="234" spans="2:4" x14ac:dyDescent="0.2">
      <c r="B234" s="19"/>
      <c r="C234" s="19"/>
      <c r="D234" s="16"/>
    </row>
    <row r="235" spans="2:4" x14ac:dyDescent="0.2">
      <c r="B235" s="19"/>
      <c r="C235" s="19"/>
      <c r="D235" s="16"/>
    </row>
    <row r="236" spans="2:4" x14ac:dyDescent="0.2">
      <c r="B236" s="19"/>
      <c r="C236" s="19"/>
      <c r="D236" s="16"/>
    </row>
    <row r="237" spans="2:4" x14ac:dyDescent="0.2">
      <c r="B237" s="19"/>
      <c r="C237" s="19"/>
      <c r="D237" s="16"/>
    </row>
    <row r="238" spans="2:4" x14ac:dyDescent="0.2">
      <c r="B238" s="19"/>
      <c r="C238" s="19"/>
      <c r="D238" s="16"/>
    </row>
    <row r="239" spans="2:4" x14ac:dyDescent="0.2">
      <c r="B239" s="19"/>
      <c r="C239" s="19"/>
      <c r="D239" s="16"/>
    </row>
    <row r="240" spans="2:4" x14ac:dyDescent="0.2">
      <c r="B240" s="19"/>
      <c r="C240" s="19"/>
      <c r="D240" s="16"/>
    </row>
    <row r="241" spans="2:4" x14ac:dyDescent="0.2">
      <c r="B241" s="19"/>
      <c r="C241" s="19"/>
      <c r="D241" s="16"/>
    </row>
    <row r="242" spans="2:4" x14ac:dyDescent="0.2">
      <c r="B242" s="19"/>
      <c r="C242" s="19"/>
      <c r="D242" s="16"/>
    </row>
    <row r="243" spans="2:4" x14ac:dyDescent="0.2">
      <c r="B243" s="19"/>
      <c r="C243" s="19"/>
      <c r="D243" s="16"/>
    </row>
    <row r="244" spans="2:4" x14ac:dyDescent="0.2">
      <c r="B244" s="19"/>
      <c r="C244" s="19"/>
      <c r="D244" s="16"/>
    </row>
    <row r="245" spans="2:4" x14ac:dyDescent="0.2">
      <c r="B245" s="19"/>
      <c r="C245" s="19"/>
      <c r="D245" s="16"/>
    </row>
    <row r="246" spans="2:4" x14ac:dyDescent="0.2">
      <c r="B246" s="19"/>
      <c r="C246" s="19"/>
      <c r="D246" s="16"/>
    </row>
    <row r="247" spans="2:4" x14ac:dyDescent="0.2">
      <c r="B247" s="19"/>
      <c r="C247" s="19"/>
      <c r="D247" s="16"/>
    </row>
    <row r="248" spans="2:4" x14ac:dyDescent="0.2">
      <c r="B248" s="19"/>
      <c r="C248" s="19"/>
      <c r="D248" s="16"/>
    </row>
    <row r="249" spans="2:4" x14ac:dyDescent="0.2">
      <c r="B249" s="19"/>
      <c r="C249" s="19"/>
      <c r="D249" s="16"/>
    </row>
    <row r="250" spans="2:4" x14ac:dyDescent="0.2">
      <c r="B250" s="19"/>
      <c r="C250" s="19"/>
      <c r="D250" s="16"/>
    </row>
    <row r="251" spans="2:4" x14ac:dyDescent="0.2">
      <c r="B251" s="19"/>
      <c r="C251" s="19"/>
      <c r="D251" s="16"/>
    </row>
    <row r="252" spans="2:4" x14ac:dyDescent="0.2">
      <c r="B252" s="19"/>
      <c r="C252" s="19"/>
      <c r="D252" s="16"/>
    </row>
    <row r="253" spans="2:4" x14ac:dyDescent="0.2">
      <c r="B253" s="19"/>
      <c r="C253" s="19"/>
      <c r="D253" s="16"/>
    </row>
    <row r="254" spans="2:4" x14ac:dyDescent="0.2">
      <c r="B254" s="19"/>
      <c r="C254" s="19"/>
      <c r="D254" s="16"/>
    </row>
    <row r="255" spans="2:4" x14ac:dyDescent="0.2">
      <c r="B255" s="19"/>
      <c r="C255" s="19"/>
      <c r="D255" s="16"/>
    </row>
    <row r="256" spans="2:4" x14ac:dyDescent="0.2">
      <c r="B256" s="19"/>
      <c r="C256" s="19"/>
      <c r="D256" s="16"/>
    </row>
    <row r="257" spans="2:4" x14ac:dyDescent="0.2">
      <c r="B257" s="19"/>
      <c r="C257" s="19"/>
      <c r="D257" s="16"/>
    </row>
    <row r="258" spans="2:4" x14ac:dyDescent="0.2">
      <c r="B258" s="19"/>
      <c r="C258" s="19"/>
      <c r="D258" s="16"/>
    </row>
    <row r="259" spans="2:4" x14ac:dyDescent="0.2">
      <c r="B259" s="19"/>
      <c r="C259" s="19"/>
      <c r="D259" s="16"/>
    </row>
    <row r="260" spans="2:4" x14ac:dyDescent="0.2">
      <c r="B260" s="19"/>
      <c r="C260" s="19"/>
      <c r="D260" s="16"/>
    </row>
    <row r="261" spans="2:4" x14ac:dyDescent="0.2">
      <c r="B261" s="19"/>
      <c r="C261" s="19"/>
      <c r="D261" s="16"/>
    </row>
    <row r="262" spans="2:4" x14ac:dyDescent="0.2">
      <c r="B262" s="19"/>
      <c r="C262" s="19"/>
      <c r="D262" s="16"/>
    </row>
    <row r="263" spans="2:4" x14ac:dyDescent="0.2">
      <c r="B263" s="19"/>
      <c r="C263" s="19"/>
      <c r="D263" s="16"/>
    </row>
    <row r="264" spans="2:4" x14ac:dyDescent="0.2">
      <c r="B264" s="19"/>
      <c r="C264" s="19"/>
      <c r="D264" s="16"/>
    </row>
    <row r="265" spans="2:4" x14ac:dyDescent="0.2">
      <c r="B265" s="19"/>
      <c r="C265" s="19"/>
      <c r="D265" s="16"/>
    </row>
    <row r="266" spans="2:4" x14ac:dyDescent="0.2">
      <c r="B266" s="19"/>
      <c r="C266" s="19"/>
      <c r="D266" s="16"/>
    </row>
    <row r="267" spans="2:4" x14ac:dyDescent="0.2">
      <c r="B267" s="19"/>
      <c r="C267" s="19"/>
      <c r="D267" s="16"/>
    </row>
    <row r="268" spans="2:4" x14ac:dyDescent="0.2">
      <c r="B268" s="19"/>
      <c r="C268" s="19"/>
      <c r="D268" s="16"/>
    </row>
    <row r="269" spans="2:4" x14ac:dyDescent="0.2">
      <c r="B269" s="19"/>
      <c r="C269" s="19"/>
      <c r="D269" s="16"/>
    </row>
    <row r="270" spans="2:4" x14ac:dyDescent="0.2">
      <c r="B270" s="19"/>
      <c r="C270" s="19"/>
      <c r="D270" s="16"/>
    </row>
    <row r="271" spans="2:4" x14ac:dyDescent="0.2">
      <c r="B271" s="19"/>
      <c r="C271" s="19"/>
      <c r="D271" s="16"/>
    </row>
    <row r="272" spans="2:4" x14ac:dyDescent="0.2">
      <c r="B272" s="19"/>
      <c r="C272" s="19"/>
      <c r="D272" s="16"/>
    </row>
    <row r="273" spans="2:4" x14ac:dyDescent="0.2">
      <c r="B273" s="19"/>
      <c r="C273" s="19"/>
      <c r="D273" s="16"/>
    </row>
    <row r="274" spans="2:4" x14ac:dyDescent="0.2">
      <c r="B274" s="19"/>
      <c r="C274" s="19"/>
      <c r="D274" s="16"/>
    </row>
    <row r="275" spans="2:4" x14ac:dyDescent="0.2">
      <c r="B275" s="19"/>
      <c r="C275" s="19"/>
      <c r="D275" s="16"/>
    </row>
    <row r="276" spans="2:4" x14ac:dyDescent="0.2">
      <c r="B276" s="19"/>
      <c r="C276" s="19"/>
      <c r="D276" s="16"/>
    </row>
    <row r="277" spans="2:4" x14ac:dyDescent="0.2">
      <c r="B277" s="19"/>
      <c r="C277" s="19"/>
      <c r="D277" s="16"/>
    </row>
    <row r="278" spans="2:4" x14ac:dyDescent="0.2">
      <c r="B278" s="19"/>
      <c r="C278" s="19"/>
      <c r="D278" s="16"/>
    </row>
    <row r="279" spans="2:4" x14ac:dyDescent="0.2">
      <c r="B279" s="19"/>
      <c r="C279" s="19"/>
      <c r="D279" s="16"/>
    </row>
    <row r="280" spans="2:4" x14ac:dyDescent="0.2">
      <c r="B280" s="19"/>
      <c r="C280" s="19"/>
      <c r="D280" s="16"/>
    </row>
    <row r="281" spans="2:4" x14ac:dyDescent="0.2">
      <c r="B281" s="19"/>
      <c r="C281" s="19"/>
      <c r="D281" s="16"/>
    </row>
    <row r="282" spans="2:4" x14ac:dyDescent="0.2">
      <c r="B282" s="19"/>
      <c r="C282" s="19"/>
      <c r="D282" s="16"/>
    </row>
    <row r="283" spans="2:4" x14ac:dyDescent="0.2">
      <c r="B283" s="19"/>
      <c r="C283" s="19"/>
      <c r="D283" s="16"/>
    </row>
    <row r="284" spans="2:4" x14ac:dyDescent="0.2">
      <c r="B284" s="19"/>
      <c r="C284" s="19"/>
      <c r="D284" s="16"/>
    </row>
    <row r="285" spans="2:4" x14ac:dyDescent="0.2">
      <c r="B285" s="19"/>
      <c r="C285" s="19"/>
      <c r="D285" s="16"/>
    </row>
    <row r="286" spans="2:4" x14ac:dyDescent="0.2">
      <c r="B286" s="19"/>
      <c r="C286" s="19"/>
      <c r="D286" s="16"/>
    </row>
    <row r="287" spans="2:4" x14ac:dyDescent="0.2">
      <c r="B287" s="19"/>
      <c r="C287" s="19"/>
      <c r="D287" s="16"/>
    </row>
    <row r="288" spans="2:4" x14ac:dyDescent="0.2">
      <c r="B288" s="19"/>
      <c r="C288" s="19"/>
      <c r="D288" s="16"/>
    </row>
    <row r="289" spans="2:4" x14ac:dyDescent="0.2">
      <c r="B289" s="19"/>
      <c r="C289" s="19"/>
      <c r="D289" s="16"/>
    </row>
    <row r="290" spans="2:4" x14ac:dyDescent="0.2">
      <c r="B290" s="19"/>
      <c r="C290" s="19"/>
      <c r="D290" s="16"/>
    </row>
    <row r="291" spans="2:4" x14ac:dyDescent="0.2">
      <c r="B291" s="19"/>
      <c r="C291" s="19"/>
      <c r="D291" s="16"/>
    </row>
    <row r="292" spans="2:4" x14ac:dyDescent="0.2">
      <c r="B292" s="19"/>
      <c r="C292" s="19"/>
      <c r="D292" s="16"/>
    </row>
    <row r="293" spans="2:4" x14ac:dyDescent="0.2">
      <c r="B293" s="19"/>
      <c r="C293" s="19"/>
      <c r="D293" s="16"/>
    </row>
    <row r="294" spans="2:4" x14ac:dyDescent="0.2">
      <c r="B294" s="19"/>
      <c r="C294" s="19"/>
      <c r="D294" s="16"/>
    </row>
    <row r="295" spans="2:4" x14ac:dyDescent="0.2">
      <c r="B295" s="19"/>
      <c r="C295" s="19"/>
      <c r="D295" s="16"/>
    </row>
    <row r="296" spans="2:4" x14ac:dyDescent="0.2">
      <c r="B296" s="19"/>
      <c r="C296" s="19"/>
      <c r="D296" s="16"/>
    </row>
    <row r="297" spans="2:4" x14ac:dyDescent="0.2">
      <c r="B297" s="19"/>
      <c r="C297" s="19"/>
      <c r="D297" s="16"/>
    </row>
    <row r="298" spans="2:4" x14ac:dyDescent="0.2">
      <c r="B298" s="19"/>
      <c r="C298" s="19"/>
      <c r="D298" s="16"/>
    </row>
    <row r="299" spans="2:4" x14ac:dyDescent="0.2">
      <c r="B299" s="19"/>
      <c r="C299" s="19"/>
      <c r="D299" s="16"/>
    </row>
    <row r="300" spans="2:4" x14ac:dyDescent="0.2">
      <c r="B300" s="19"/>
      <c r="C300" s="19"/>
      <c r="D300" s="16"/>
    </row>
    <row r="301" spans="2:4" x14ac:dyDescent="0.2">
      <c r="B301" s="19"/>
      <c r="C301" s="19"/>
      <c r="D301" s="16"/>
    </row>
    <row r="302" spans="2:4" x14ac:dyDescent="0.2">
      <c r="B302" s="19"/>
      <c r="C302" s="19"/>
      <c r="D302" s="16"/>
    </row>
    <row r="303" spans="2:4" x14ac:dyDescent="0.2">
      <c r="B303" s="19"/>
      <c r="C303" s="19"/>
      <c r="D303" s="16"/>
    </row>
    <row r="304" spans="2:4" x14ac:dyDescent="0.2">
      <c r="B304" s="19"/>
      <c r="C304" s="19"/>
      <c r="D304" s="16"/>
    </row>
    <row r="305" spans="2:4" x14ac:dyDescent="0.2">
      <c r="B305" s="19"/>
      <c r="C305" s="19"/>
      <c r="D305" s="16"/>
    </row>
    <row r="306" spans="2:4" x14ac:dyDescent="0.2">
      <c r="B306" s="19"/>
      <c r="C306" s="19"/>
      <c r="D306" s="16"/>
    </row>
    <row r="307" spans="2:4" x14ac:dyDescent="0.2">
      <c r="B307" s="19"/>
      <c r="C307" s="19"/>
      <c r="D307" s="16"/>
    </row>
    <row r="308" spans="2:4" x14ac:dyDescent="0.2">
      <c r="B308" s="19"/>
      <c r="C308" s="19"/>
      <c r="D308" s="16"/>
    </row>
    <row r="309" spans="2:4" x14ac:dyDescent="0.2">
      <c r="B309" s="19"/>
      <c r="C309" s="19"/>
      <c r="D309" s="16"/>
    </row>
    <row r="310" spans="2:4" x14ac:dyDescent="0.2">
      <c r="B310" s="19"/>
      <c r="C310" s="19"/>
      <c r="D310" s="16"/>
    </row>
    <row r="311" spans="2:4" x14ac:dyDescent="0.2">
      <c r="B311" s="19"/>
      <c r="C311" s="19"/>
      <c r="D311" s="16"/>
    </row>
    <row r="312" spans="2:4" x14ac:dyDescent="0.2">
      <c r="B312" s="19"/>
      <c r="C312" s="19"/>
      <c r="D312" s="16"/>
    </row>
    <row r="313" spans="2:4" x14ac:dyDescent="0.2">
      <c r="B313" s="19"/>
      <c r="C313" s="19"/>
      <c r="D313" s="16"/>
    </row>
    <row r="314" spans="2:4" x14ac:dyDescent="0.2">
      <c r="B314" s="19"/>
      <c r="C314" s="19"/>
      <c r="D314" s="16"/>
    </row>
    <row r="315" spans="2:4" x14ac:dyDescent="0.2">
      <c r="B315" s="19"/>
      <c r="C315" s="19"/>
      <c r="D315" s="16"/>
    </row>
    <row r="316" spans="2:4" x14ac:dyDescent="0.2">
      <c r="B316" s="19"/>
      <c r="C316" s="19"/>
      <c r="D316" s="16"/>
    </row>
    <row r="317" spans="2:4" x14ac:dyDescent="0.2">
      <c r="B317" s="19"/>
      <c r="C317" s="19"/>
      <c r="D317" s="16"/>
    </row>
    <row r="318" spans="2:4" x14ac:dyDescent="0.2">
      <c r="B318" s="19"/>
      <c r="C318" s="19"/>
      <c r="D318" s="16"/>
    </row>
    <row r="319" spans="2:4" x14ac:dyDescent="0.2">
      <c r="B319" s="19"/>
      <c r="C319" s="19"/>
      <c r="D319" s="16"/>
    </row>
    <row r="320" spans="2:4" x14ac:dyDescent="0.2">
      <c r="B320" s="19"/>
      <c r="C320" s="19"/>
      <c r="D320" s="16"/>
    </row>
    <row r="321" spans="2:4" x14ac:dyDescent="0.2">
      <c r="B321" s="19"/>
      <c r="C321" s="19"/>
      <c r="D321" s="16"/>
    </row>
    <row r="322" spans="2:4" x14ac:dyDescent="0.2">
      <c r="B322" s="19"/>
      <c r="C322" s="19"/>
      <c r="D322" s="16"/>
    </row>
    <row r="323" spans="2:4" x14ac:dyDescent="0.2">
      <c r="B323" s="19"/>
      <c r="C323" s="19"/>
      <c r="D323" s="16"/>
    </row>
    <row r="324" spans="2:4" x14ac:dyDescent="0.2">
      <c r="B324" s="19"/>
      <c r="C324" s="19"/>
      <c r="D324" s="16"/>
    </row>
    <row r="325" spans="2:4" x14ac:dyDescent="0.2">
      <c r="B325" s="19"/>
      <c r="C325" s="19"/>
      <c r="D325" s="16"/>
    </row>
    <row r="326" spans="2:4" x14ac:dyDescent="0.2">
      <c r="B326" s="19"/>
      <c r="C326" s="19"/>
      <c r="D326" s="16"/>
    </row>
    <row r="327" spans="2:4" x14ac:dyDescent="0.2">
      <c r="B327" s="19"/>
      <c r="C327" s="19"/>
      <c r="D327" s="16"/>
    </row>
    <row r="328" spans="2:4" x14ac:dyDescent="0.2">
      <c r="B328" s="19"/>
      <c r="C328" s="19"/>
      <c r="D328" s="16"/>
    </row>
    <row r="329" spans="2:4" x14ac:dyDescent="0.2">
      <c r="B329" s="19"/>
      <c r="C329" s="19"/>
      <c r="D329" s="16"/>
    </row>
    <row r="330" spans="2:4" x14ac:dyDescent="0.2">
      <c r="B330" s="19"/>
      <c r="C330" s="19"/>
      <c r="D330" s="16"/>
    </row>
    <row r="331" spans="2:4" x14ac:dyDescent="0.2">
      <c r="B331" s="19"/>
      <c r="C331" s="19"/>
      <c r="D331" s="16"/>
    </row>
    <row r="332" spans="2:4" x14ac:dyDescent="0.2">
      <c r="B332" s="19"/>
      <c r="C332" s="19"/>
      <c r="D332" s="16"/>
    </row>
    <row r="333" spans="2:4" x14ac:dyDescent="0.2">
      <c r="B333" s="19"/>
      <c r="C333" s="19"/>
      <c r="D333" s="16"/>
    </row>
    <row r="334" spans="2:4" x14ac:dyDescent="0.2">
      <c r="B334" s="19"/>
      <c r="C334" s="19"/>
      <c r="D334" s="16"/>
    </row>
    <row r="335" spans="2:4" x14ac:dyDescent="0.2">
      <c r="B335" s="19"/>
      <c r="C335" s="19"/>
      <c r="D335" s="16"/>
    </row>
    <row r="336" spans="2:4" x14ac:dyDescent="0.2">
      <c r="B336" s="19"/>
      <c r="C336" s="19"/>
      <c r="D336" s="16"/>
    </row>
    <row r="337" spans="2:4" x14ac:dyDescent="0.2">
      <c r="B337" s="19"/>
      <c r="C337" s="19"/>
      <c r="D337" s="16"/>
    </row>
    <row r="338" spans="2:4" x14ac:dyDescent="0.2">
      <c r="B338" s="19"/>
      <c r="C338" s="19"/>
      <c r="D338" s="16"/>
    </row>
    <row r="339" spans="2:4" x14ac:dyDescent="0.2">
      <c r="B339" s="19"/>
      <c r="C339" s="19"/>
      <c r="D339" s="16"/>
    </row>
    <row r="340" spans="2:4" x14ac:dyDescent="0.2">
      <c r="B340" s="19"/>
      <c r="C340" s="19"/>
      <c r="D340" s="16"/>
    </row>
    <row r="341" spans="2:4" x14ac:dyDescent="0.2">
      <c r="B341" s="19"/>
      <c r="C341" s="19"/>
      <c r="D341" s="16"/>
    </row>
    <row r="342" spans="2:4" x14ac:dyDescent="0.2">
      <c r="B342" s="19"/>
      <c r="C342" s="19"/>
      <c r="D342" s="16"/>
    </row>
    <row r="343" spans="2:4" x14ac:dyDescent="0.2">
      <c r="B343" s="19"/>
      <c r="C343" s="19"/>
      <c r="D343" s="16"/>
    </row>
    <row r="344" spans="2:4" x14ac:dyDescent="0.2">
      <c r="B344" s="19"/>
      <c r="C344" s="19"/>
      <c r="D344" s="16"/>
    </row>
    <row r="345" spans="2:4" x14ac:dyDescent="0.2">
      <c r="B345" s="19"/>
      <c r="C345" s="19"/>
      <c r="D345" s="16"/>
    </row>
    <row r="346" spans="2:4" x14ac:dyDescent="0.2">
      <c r="B346" s="19"/>
      <c r="C346" s="19"/>
      <c r="D346" s="16"/>
    </row>
    <row r="347" spans="2:4" x14ac:dyDescent="0.2">
      <c r="B347" s="19"/>
      <c r="C347" s="19"/>
      <c r="D347" s="16"/>
    </row>
    <row r="348" spans="2:4" x14ac:dyDescent="0.2">
      <c r="B348" s="19"/>
      <c r="C348" s="19"/>
      <c r="D348" s="16"/>
    </row>
    <row r="349" spans="2:4" x14ac:dyDescent="0.2">
      <c r="B349" s="19"/>
      <c r="C349" s="19"/>
      <c r="D349" s="16"/>
    </row>
    <row r="350" spans="2:4" x14ac:dyDescent="0.2">
      <c r="B350" s="19"/>
      <c r="C350" s="19"/>
      <c r="D350" s="16"/>
    </row>
    <row r="351" spans="2:4" x14ac:dyDescent="0.2">
      <c r="B351" s="19"/>
      <c r="C351" s="19"/>
      <c r="D351" s="16"/>
    </row>
    <row r="352" spans="2:4" x14ac:dyDescent="0.2">
      <c r="B352" s="19"/>
      <c r="C352" s="19"/>
      <c r="D352" s="16"/>
    </row>
    <row r="353" spans="2:4" x14ac:dyDescent="0.2">
      <c r="B353" s="19"/>
      <c r="C353" s="19"/>
      <c r="D353" s="16"/>
    </row>
    <row r="354" spans="2:4" x14ac:dyDescent="0.2">
      <c r="B354" s="19"/>
      <c r="C354" s="19"/>
      <c r="D354" s="16"/>
    </row>
    <row r="355" spans="2:4" x14ac:dyDescent="0.2">
      <c r="B355" s="20"/>
      <c r="C355" s="20"/>
      <c r="D355" s="20"/>
    </row>
  </sheetData>
  <autoFilter ref="A1:R106" xr:uid="{389E8EA0-E9ED-449A-B52E-4BBE7BDE6D97}"/>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6BAB-DABB-494D-9199-9FE01AB06A25}">
  <dimension ref="A1:Q257"/>
  <sheetViews>
    <sheetView zoomScale="70" zoomScaleNormal="70" workbookViewId="0">
      <pane xSplit="4" ySplit="1" topLeftCell="L2" activePane="bottomRight" state="frozen"/>
      <selection pane="topRight" activeCell="E1" sqref="E1"/>
      <selection pane="bottomLeft" activeCell="A2" sqref="A2"/>
      <selection pane="bottomRight" activeCell="L16" sqref="L15:L16"/>
    </sheetView>
  </sheetViews>
  <sheetFormatPr baseColWidth="10" defaultColWidth="65.85546875" defaultRowHeight="12.75" x14ac:dyDescent="0.2"/>
  <cols>
    <col min="1" max="1" width="9.42578125" style="14" customWidth="1"/>
    <col min="2" max="2" width="10.7109375" style="14" bestFit="1" customWidth="1"/>
    <col min="3" max="3" width="13.140625" style="14" customWidth="1"/>
    <col min="4" max="4" width="13.28515625" style="14" customWidth="1"/>
    <col min="5" max="5" width="39.140625" style="14" customWidth="1"/>
    <col min="6" max="6" width="8.140625" style="14" customWidth="1"/>
    <col min="7" max="7" width="65.85546875" style="14"/>
    <col min="8" max="8" width="29.42578125" style="14" customWidth="1"/>
    <col min="9" max="9" width="63.85546875" style="14" customWidth="1"/>
    <col min="10" max="10" width="11.7109375" style="14" customWidth="1"/>
    <col min="11" max="11" width="10.7109375" style="14" customWidth="1"/>
    <col min="12" max="12" width="17" style="14" customWidth="1"/>
    <col min="13" max="13" width="10" style="14" customWidth="1"/>
    <col min="14" max="14" width="65.85546875" style="14"/>
    <col min="15" max="15" width="18.28515625" style="14" bestFit="1" customWidth="1"/>
    <col min="16" max="16" width="28.28515625" style="14" bestFit="1" customWidth="1"/>
    <col min="17" max="17" width="46" style="14" customWidth="1"/>
    <col min="18" max="16384" width="65.85546875" style="14"/>
  </cols>
  <sheetData>
    <row r="1" spans="1:17" ht="26.25" thickBot="1" x14ac:dyDescent="0.25">
      <c r="A1" s="25" t="s">
        <v>3676</v>
      </c>
      <c r="B1" s="25" t="s">
        <v>3677</v>
      </c>
      <c r="C1" s="25" t="s">
        <v>3678</v>
      </c>
      <c r="D1" s="25" t="s">
        <v>3679</v>
      </c>
      <c r="E1" s="26" t="s">
        <v>3680</v>
      </c>
      <c r="F1" s="27" t="s">
        <v>3681</v>
      </c>
      <c r="G1" s="26" t="s">
        <v>3682</v>
      </c>
      <c r="H1" s="26" t="s">
        <v>3683</v>
      </c>
      <c r="I1" s="26" t="s">
        <v>3684</v>
      </c>
      <c r="J1" s="27" t="s">
        <v>3685</v>
      </c>
      <c r="K1" s="26" t="s">
        <v>3069</v>
      </c>
      <c r="L1" s="27" t="s">
        <v>3686</v>
      </c>
      <c r="M1" s="26" t="s">
        <v>3687</v>
      </c>
      <c r="N1" s="26" t="s">
        <v>3688</v>
      </c>
      <c r="O1" s="27" t="s">
        <v>3689</v>
      </c>
      <c r="P1" s="27" t="s">
        <v>3921</v>
      </c>
      <c r="Q1" s="26" t="s">
        <v>3691</v>
      </c>
    </row>
    <row r="2" spans="1:17" ht="39" thickTop="1" x14ac:dyDescent="0.2">
      <c r="A2" s="28" t="s">
        <v>4214</v>
      </c>
      <c r="B2" s="29" t="str">
        <f>'[1]Calculos Indicadores'!C94</f>
        <v>7.2.1</v>
      </c>
      <c r="C2" s="29" t="b">
        <f>D2=E2</f>
        <v>0</v>
      </c>
      <c r="D2" s="30" t="str">
        <f>Calculos!B213</f>
        <v xml:space="preserve">Tasa de denuncias netas del delito de CONTRA LA VIDA </v>
      </c>
      <c r="E2" s="34" t="s">
        <v>4215</v>
      </c>
      <c r="F2" s="34" t="s">
        <v>3693</v>
      </c>
      <c r="G2" s="34" t="s">
        <v>4216</v>
      </c>
      <c r="H2" s="32" t="s">
        <v>4217</v>
      </c>
      <c r="I2" s="34" t="s">
        <v>4218</v>
      </c>
      <c r="J2" s="28" t="s">
        <v>4219</v>
      </c>
      <c r="K2" s="28" t="s">
        <v>3696</v>
      </c>
      <c r="L2" s="28" t="s">
        <v>4220</v>
      </c>
      <c r="M2" s="28" t="s">
        <v>3698</v>
      </c>
      <c r="N2" s="33" t="s">
        <v>4061</v>
      </c>
      <c r="O2" s="28" t="s">
        <v>3700</v>
      </c>
      <c r="P2" s="28" t="s">
        <v>4018</v>
      </c>
      <c r="Q2" s="29" t="s">
        <v>4221</v>
      </c>
    </row>
    <row r="3" spans="1:17" x14ac:dyDescent="0.2">
      <c r="B3" s="19"/>
      <c r="C3" s="19"/>
      <c r="D3" s="16"/>
    </row>
    <row r="4" spans="1:17" x14ac:dyDescent="0.2">
      <c r="B4" s="19"/>
      <c r="C4" s="19"/>
      <c r="D4" s="16"/>
    </row>
    <row r="5" spans="1:17" x14ac:dyDescent="0.2">
      <c r="B5" s="19"/>
      <c r="C5" s="19"/>
      <c r="D5" s="16"/>
    </row>
    <row r="6" spans="1:17" x14ac:dyDescent="0.2">
      <c r="B6" s="19"/>
      <c r="C6" s="19"/>
      <c r="D6" s="16"/>
    </row>
    <row r="7" spans="1:17" x14ac:dyDescent="0.2">
      <c r="B7" s="19"/>
      <c r="C7" s="19"/>
      <c r="D7" s="16"/>
    </row>
    <row r="8" spans="1:17" x14ac:dyDescent="0.2">
      <c r="B8" s="19"/>
      <c r="C8" s="19"/>
      <c r="D8" s="16"/>
    </row>
    <row r="9" spans="1:17" x14ac:dyDescent="0.2">
      <c r="B9" s="19"/>
      <c r="C9" s="19"/>
      <c r="D9" s="16"/>
    </row>
    <row r="10" spans="1:17" x14ac:dyDescent="0.2">
      <c r="B10" s="19"/>
      <c r="C10" s="19"/>
      <c r="D10" s="16"/>
    </row>
    <row r="11" spans="1:17" x14ac:dyDescent="0.2">
      <c r="B11" s="19"/>
      <c r="C11" s="19"/>
      <c r="D11" s="16"/>
    </row>
    <row r="12" spans="1:17" x14ac:dyDescent="0.2">
      <c r="B12" s="19"/>
      <c r="C12" s="19"/>
      <c r="D12" s="16"/>
    </row>
    <row r="13" spans="1:17" x14ac:dyDescent="0.2">
      <c r="B13" s="19"/>
      <c r="C13" s="19"/>
      <c r="D13" s="16"/>
    </row>
    <row r="14" spans="1:17" x14ac:dyDescent="0.2">
      <c r="B14" s="19"/>
      <c r="C14" s="19"/>
      <c r="D14" s="16"/>
    </row>
    <row r="15" spans="1:17" x14ac:dyDescent="0.2">
      <c r="B15" s="19"/>
      <c r="C15" s="19"/>
      <c r="D15" s="16"/>
    </row>
    <row r="16" spans="1:17" x14ac:dyDescent="0.2">
      <c r="B16" s="19"/>
      <c r="C16" s="19"/>
      <c r="D16" s="16"/>
    </row>
    <row r="17" spans="2:4" x14ac:dyDescent="0.2">
      <c r="B17" s="19"/>
      <c r="C17" s="19"/>
      <c r="D17" s="16"/>
    </row>
    <row r="18" spans="2:4" x14ac:dyDescent="0.2">
      <c r="B18" s="19"/>
      <c r="C18" s="19"/>
      <c r="D18" s="16"/>
    </row>
    <row r="19" spans="2:4" x14ac:dyDescent="0.2">
      <c r="B19" s="19"/>
      <c r="C19" s="19"/>
      <c r="D19" s="16"/>
    </row>
    <row r="20" spans="2:4" x14ac:dyDescent="0.2">
      <c r="B20" s="19"/>
      <c r="C20" s="19"/>
      <c r="D20" s="16"/>
    </row>
    <row r="21" spans="2:4" x14ac:dyDescent="0.2">
      <c r="B21" s="19"/>
      <c r="C21" s="19"/>
      <c r="D21" s="16"/>
    </row>
    <row r="22" spans="2:4" x14ac:dyDescent="0.2">
      <c r="B22" s="19"/>
      <c r="C22" s="19"/>
      <c r="D22" s="16"/>
    </row>
    <row r="23" spans="2:4" x14ac:dyDescent="0.2">
      <c r="B23" s="19"/>
      <c r="C23" s="19"/>
      <c r="D23" s="16"/>
    </row>
    <row r="24" spans="2:4" x14ac:dyDescent="0.2">
      <c r="B24" s="19"/>
      <c r="C24" s="19"/>
      <c r="D24" s="16"/>
    </row>
    <row r="25" spans="2:4" x14ac:dyDescent="0.2">
      <c r="B25" s="19"/>
      <c r="C25" s="19"/>
      <c r="D25" s="16"/>
    </row>
    <row r="26" spans="2:4" x14ac:dyDescent="0.2">
      <c r="B26" s="19"/>
      <c r="C26" s="19"/>
      <c r="D26" s="16"/>
    </row>
    <row r="27" spans="2:4" x14ac:dyDescent="0.2">
      <c r="B27" s="19"/>
      <c r="C27" s="19"/>
      <c r="D27" s="16"/>
    </row>
    <row r="28" spans="2:4" x14ac:dyDescent="0.2">
      <c r="B28" s="19"/>
      <c r="C28" s="19"/>
      <c r="D28" s="16"/>
    </row>
    <row r="29" spans="2:4" x14ac:dyDescent="0.2">
      <c r="B29" s="19"/>
      <c r="C29" s="19"/>
      <c r="D29" s="16"/>
    </row>
    <row r="30" spans="2:4" x14ac:dyDescent="0.2">
      <c r="B30" s="19"/>
      <c r="C30" s="19"/>
      <c r="D30" s="16"/>
    </row>
    <row r="31" spans="2:4" x14ac:dyDescent="0.2">
      <c r="B31" s="19"/>
      <c r="C31" s="19"/>
      <c r="D31" s="16"/>
    </row>
    <row r="32" spans="2:4" x14ac:dyDescent="0.2">
      <c r="B32" s="19"/>
      <c r="C32" s="19"/>
      <c r="D32" s="16"/>
    </row>
    <row r="33" spans="2:4" x14ac:dyDescent="0.2">
      <c r="B33" s="19"/>
      <c r="C33" s="19"/>
      <c r="D33" s="16"/>
    </row>
    <row r="34" spans="2:4" x14ac:dyDescent="0.2">
      <c r="B34" s="19"/>
      <c r="C34" s="19"/>
      <c r="D34" s="16"/>
    </row>
    <row r="35" spans="2:4" x14ac:dyDescent="0.2">
      <c r="B35" s="19"/>
      <c r="C35" s="19"/>
      <c r="D35" s="16"/>
    </row>
    <row r="36" spans="2:4" x14ac:dyDescent="0.2">
      <c r="B36" s="19"/>
      <c r="C36" s="19"/>
      <c r="D36" s="16"/>
    </row>
    <row r="37" spans="2:4" x14ac:dyDescent="0.2">
      <c r="B37" s="19"/>
      <c r="C37" s="19"/>
      <c r="D37" s="16"/>
    </row>
    <row r="38" spans="2:4" x14ac:dyDescent="0.2">
      <c r="B38" s="19"/>
      <c r="C38" s="19"/>
      <c r="D38" s="16"/>
    </row>
    <row r="39" spans="2:4" x14ac:dyDescent="0.2">
      <c r="B39" s="19"/>
      <c r="C39" s="19"/>
      <c r="D39" s="16"/>
    </row>
    <row r="40" spans="2:4" x14ac:dyDescent="0.2">
      <c r="B40" s="19"/>
      <c r="C40" s="19"/>
      <c r="D40" s="16"/>
    </row>
    <row r="41" spans="2:4" x14ac:dyDescent="0.2">
      <c r="B41" s="19"/>
      <c r="C41" s="19"/>
      <c r="D41" s="16"/>
    </row>
    <row r="42" spans="2:4" x14ac:dyDescent="0.2">
      <c r="B42" s="19"/>
      <c r="C42" s="19"/>
      <c r="D42" s="16"/>
    </row>
    <row r="43" spans="2:4" x14ac:dyDescent="0.2">
      <c r="B43" s="19"/>
      <c r="C43" s="19"/>
      <c r="D43" s="16"/>
    </row>
    <row r="44" spans="2:4" x14ac:dyDescent="0.2">
      <c r="B44" s="19"/>
      <c r="C44" s="19"/>
      <c r="D44" s="16"/>
    </row>
    <row r="45" spans="2:4" x14ac:dyDescent="0.2">
      <c r="B45" s="19"/>
      <c r="C45" s="19"/>
      <c r="D45" s="16"/>
    </row>
    <row r="46" spans="2:4" x14ac:dyDescent="0.2">
      <c r="B46" s="19"/>
      <c r="C46" s="19"/>
      <c r="D46" s="16"/>
    </row>
    <row r="47" spans="2:4" x14ac:dyDescent="0.2">
      <c r="B47" s="19"/>
      <c r="C47" s="19"/>
      <c r="D47" s="16"/>
    </row>
    <row r="48" spans="2:4" x14ac:dyDescent="0.2">
      <c r="B48" s="19"/>
      <c r="C48" s="19"/>
      <c r="D48" s="16"/>
    </row>
    <row r="49" spans="2:4" x14ac:dyDescent="0.2">
      <c r="B49" s="19"/>
      <c r="C49" s="19"/>
      <c r="D49" s="16"/>
    </row>
    <row r="50" spans="2:4" x14ac:dyDescent="0.2">
      <c r="B50" s="19"/>
      <c r="C50" s="19"/>
      <c r="D50" s="16"/>
    </row>
    <row r="51" spans="2:4" x14ac:dyDescent="0.2">
      <c r="B51" s="19"/>
      <c r="C51" s="19"/>
      <c r="D51" s="16"/>
    </row>
    <row r="52" spans="2:4" x14ac:dyDescent="0.2">
      <c r="B52" s="19"/>
      <c r="C52" s="19"/>
      <c r="D52" s="16"/>
    </row>
    <row r="53" spans="2:4" x14ac:dyDescent="0.2">
      <c r="B53" s="19"/>
      <c r="C53" s="19"/>
      <c r="D53" s="16"/>
    </row>
    <row r="54" spans="2:4" x14ac:dyDescent="0.2">
      <c r="B54" s="19"/>
      <c r="C54" s="19"/>
      <c r="D54" s="16"/>
    </row>
    <row r="55" spans="2:4" x14ac:dyDescent="0.2">
      <c r="B55" s="19"/>
      <c r="C55" s="19"/>
      <c r="D55" s="16"/>
    </row>
    <row r="56" spans="2:4" x14ac:dyDescent="0.2">
      <c r="B56" s="19"/>
      <c r="C56" s="19"/>
      <c r="D56" s="16"/>
    </row>
    <row r="57" spans="2:4" x14ac:dyDescent="0.2">
      <c r="B57" s="19"/>
      <c r="C57" s="19"/>
      <c r="D57" s="16"/>
    </row>
    <row r="58" spans="2:4" x14ac:dyDescent="0.2">
      <c r="B58" s="19"/>
      <c r="C58" s="19"/>
      <c r="D58" s="16"/>
    </row>
    <row r="59" spans="2:4" x14ac:dyDescent="0.2">
      <c r="B59" s="19"/>
      <c r="C59" s="19"/>
      <c r="D59" s="16"/>
    </row>
    <row r="60" spans="2:4" x14ac:dyDescent="0.2">
      <c r="B60" s="19"/>
      <c r="C60" s="19"/>
      <c r="D60" s="16"/>
    </row>
    <row r="61" spans="2:4" x14ac:dyDescent="0.2">
      <c r="B61" s="19"/>
      <c r="C61" s="19"/>
      <c r="D61" s="16"/>
    </row>
    <row r="62" spans="2:4" x14ac:dyDescent="0.2">
      <c r="B62" s="19"/>
      <c r="C62" s="19"/>
      <c r="D62" s="16"/>
    </row>
    <row r="63" spans="2:4" x14ac:dyDescent="0.2">
      <c r="B63" s="19"/>
      <c r="C63" s="19"/>
      <c r="D63" s="16"/>
    </row>
    <row r="64" spans="2:4" x14ac:dyDescent="0.2">
      <c r="B64" s="19"/>
      <c r="C64" s="19"/>
      <c r="D64" s="16"/>
    </row>
    <row r="65" spans="2:4" x14ac:dyDescent="0.2">
      <c r="B65" s="19"/>
      <c r="C65" s="19"/>
      <c r="D65" s="16"/>
    </row>
    <row r="66" spans="2:4" x14ac:dyDescent="0.2">
      <c r="B66" s="19"/>
      <c r="C66" s="19"/>
      <c r="D66" s="16"/>
    </row>
    <row r="67" spans="2:4" x14ac:dyDescent="0.2">
      <c r="B67" s="19"/>
      <c r="C67" s="19"/>
      <c r="D67" s="16"/>
    </row>
    <row r="68" spans="2:4" x14ac:dyDescent="0.2">
      <c r="B68" s="19"/>
      <c r="C68" s="19"/>
      <c r="D68" s="16"/>
    </row>
    <row r="69" spans="2:4" x14ac:dyDescent="0.2">
      <c r="B69" s="19"/>
      <c r="C69" s="19"/>
      <c r="D69" s="16"/>
    </row>
    <row r="70" spans="2:4" x14ac:dyDescent="0.2">
      <c r="B70" s="19"/>
      <c r="C70" s="19"/>
      <c r="D70" s="16"/>
    </row>
    <row r="71" spans="2:4" x14ac:dyDescent="0.2">
      <c r="B71" s="19"/>
      <c r="C71" s="19"/>
      <c r="D71" s="16"/>
    </row>
    <row r="72" spans="2:4" x14ac:dyDescent="0.2">
      <c r="B72" s="19"/>
      <c r="C72" s="19"/>
      <c r="D72" s="16"/>
    </row>
    <row r="73" spans="2:4" x14ac:dyDescent="0.2">
      <c r="B73" s="19"/>
      <c r="C73" s="19"/>
      <c r="D73" s="16"/>
    </row>
    <row r="74" spans="2:4" x14ac:dyDescent="0.2">
      <c r="B74" s="19"/>
      <c r="C74" s="19"/>
      <c r="D74" s="16"/>
    </row>
    <row r="75" spans="2:4" x14ac:dyDescent="0.2">
      <c r="B75" s="19"/>
      <c r="C75" s="19"/>
      <c r="D75" s="16"/>
    </row>
    <row r="76" spans="2:4" x14ac:dyDescent="0.2">
      <c r="B76" s="19"/>
      <c r="C76" s="19"/>
      <c r="D76" s="16"/>
    </row>
    <row r="77" spans="2:4" x14ac:dyDescent="0.2">
      <c r="B77" s="19"/>
      <c r="C77" s="19"/>
      <c r="D77" s="16"/>
    </row>
    <row r="78" spans="2:4" x14ac:dyDescent="0.2">
      <c r="B78" s="19"/>
      <c r="C78" s="19"/>
      <c r="D78" s="16"/>
    </row>
    <row r="79" spans="2:4" x14ac:dyDescent="0.2">
      <c r="B79" s="19"/>
      <c r="C79" s="19"/>
      <c r="D79" s="16"/>
    </row>
    <row r="80" spans="2:4" x14ac:dyDescent="0.2">
      <c r="B80" s="19"/>
      <c r="C80" s="19"/>
      <c r="D80" s="16"/>
    </row>
    <row r="81" spans="2:4" x14ac:dyDescent="0.2">
      <c r="B81" s="19"/>
      <c r="C81" s="19"/>
      <c r="D81" s="16"/>
    </row>
    <row r="82" spans="2:4" x14ac:dyDescent="0.2">
      <c r="B82" s="19"/>
      <c r="C82" s="19"/>
      <c r="D82" s="16"/>
    </row>
    <row r="83" spans="2:4" x14ac:dyDescent="0.2">
      <c r="B83" s="19"/>
      <c r="C83" s="19"/>
      <c r="D83" s="16"/>
    </row>
    <row r="84" spans="2:4" x14ac:dyDescent="0.2">
      <c r="B84" s="19"/>
      <c r="C84" s="19"/>
      <c r="D84" s="16"/>
    </row>
    <row r="85" spans="2:4" x14ac:dyDescent="0.2">
      <c r="B85" s="19"/>
      <c r="C85" s="19"/>
      <c r="D85" s="16"/>
    </row>
    <row r="86" spans="2:4" x14ac:dyDescent="0.2">
      <c r="B86" s="19"/>
      <c r="C86" s="19"/>
      <c r="D86" s="16"/>
    </row>
    <row r="87" spans="2:4" x14ac:dyDescent="0.2">
      <c r="B87" s="19"/>
      <c r="C87" s="19"/>
      <c r="D87" s="16"/>
    </row>
    <row r="88" spans="2:4" x14ac:dyDescent="0.2">
      <c r="B88" s="19"/>
      <c r="C88" s="19"/>
      <c r="D88" s="16"/>
    </row>
    <row r="89" spans="2:4" x14ac:dyDescent="0.2">
      <c r="B89" s="19"/>
      <c r="C89" s="19"/>
      <c r="D89" s="16"/>
    </row>
    <row r="90" spans="2:4" x14ac:dyDescent="0.2">
      <c r="B90" s="19"/>
      <c r="C90" s="19"/>
      <c r="D90" s="16"/>
    </row>
    <row r="91" spans="2:4" x14ac:dyDescent="0.2">
      <c r="B91" s="19"/>
      <c r="C91" s="19"/>
      <c r="D91" s="16"/>
    </row>
    <row r="92" spans="2:4" x14ac:dyDescent="0.2">
      <c r="B92" s="19"/>
      <c r="C92" s="19"/>
      <c r="D92" s="16"/>
    </row>
    <row r="93" spans="2:4" x14ac:dyDescent="0.2">
      <c r="B93" s="19"/>
      <c r="C93" s="19"/>
      <c r="D93" s="16"/>
    </row>
    <row r="94" spans="2:4" x14ac:dyDescent="0.2">
      <c r="B94" s="19"/>
      <c r="C94" s="19"/>
      <c r="D94" s="16"/>
    </row>
    <row r="95" spans="2:4" x14ac:dyDescent="0.2">
      <c r="B95" s="19"/>
      <c r="C95" s="19"/>
      <c r="D95" s="16"/>
    </row>
    <row r="96" spans="2:4" x14ac:dyDescent="0.2">
      <c r="B96" s="19"/>
      <c r="C96" s="19"/>
      <c r="D96" s="16"/>
    </row>
    <row r="97" spans="2:4" x14ac:dyDescent="0.2">
      <c r="B97" s="19"/>
      <c r="C97" s="19"/>
      <c r="D97" s="16"/>
    </row>
    <row r="98" spans="2:4" x14ac:dyDescent="0.2">
      <c r="B98" s="19"/>
      <c r="C98" s="19"/>
      <c r="D98" s="16"/>
    </row>
    <row r="99" spans="2:4" x14ac:dyDescent="0.2">
      <c r="B99" s="19"/>
      <c r="C99" s="19"/>
      <c r="D99" s="16"/>
    </row>
    <row r="100" spans="2:4" x14ac:dyDescent="0.2">
      <c r="B100" s="19"/>
      <c r="C100" s="19"/>
      <c r="D100" s="16"/>
    </row>
    <row r="101" spans="2:4" x14ac:dyDescent="0.2">
      <c r="B101" s="19"/>
      <c r="C101" s="19"/>
      <c r="D101" s="16"/>
    </row>
    <row r="102" spans="2:4" x14ac:dyDescent="0.2">
      <c r="B102" s="19"/>
      <c r="C102" s="19"/>
      <c r="D102" s="16"/>
    </row>
    <row r="103" spans="2:4" x14ac:dyDescent="0.2">
      <c r="B103" s="19"/>
      <c r="C103" s="19"/>
      <c r="D103" s="16"/>
    </row>
    <row r="104" spans="2:4" x14ac:dyDescent="0.2">
      <c r="B104" s="19"/>
      <c r="C104" s="19"/>
      <c r="D104" s="16"/>
    </row>
    <row r="105" spans="2:4" x14ac:dyDescent="0.2">
      <c r="B105" s="19"/>
      <c r="C105" s="19"/>
      <c r="D105" s="16"/>
    </row>
    <row r="106" spans="2:4" x14ac:dyDescent="0.2">
      <c r="B106" s="19"/>
      <c r="C106" s="19"/>
      <c r="D106" s="16"/>
    </row>
    <row r="107" spans="2:4" x14ac:dyDescent="0.2">
      <c r="B107" s="19"/>
      <c r="C107" s="19"/>
      <c r="D107" s="16"/>
    </row>
    <row r="108" spans="2:4" x14ac:dyDescent="0.2">
      <c r="B108" s="19"/>
      <c r="C108" s="19"/>
      <c r="D108" s="16"/>
    </row>
    <row r="109" spans="2:4" x14ac:dyDescent="0.2">
      <c r="B109" s="19"/>
      <c r="C109" s="19"/>
      <c r="D109" s="16"/>
    </row>
    <row r="110" spans="2:4" x14ac:dyDescent="0.2">
      <c r="B110" s="19"/>
      <c r="C110" s="19"/>
      <c r="D110" s="16"/>
    </row>
    <row r="111" spans="2:4" x14ac:dyDescent="0.2">
      <c r="B111" s="19"/>
      <c r="C111" s="19"/>
      <c r="D111" s="16"/>
    </row>
    <row r="112" spans="2:4" x14ac:dyDescent="0.2">
      <c r="B112" s="19"/>
      <c r="C112" s="19"/>
      <c r="D112" s="16"/>
    </row>
    <row r="113" spans="2:4" x14ac:dyDescent="0.2">
      <c r="B113" s="19"/>
      <c r="C113" s="19"/>
      <c r="D113" s="16"/>
    </row>
    <row r="114" spans="2:4" x14ac:dyDescent="0.2">
      <c r="B114" s="19"/>
      <c r="C114" s="19"/>
      <c r="D114" s="16"/>
    </row>
    <row r="115" spans="2:4" x14ac:dyDescent="0.2">
      <c r="B115" s="19"/>
      <c r="C115" s="19"/>
      <c r="D115" s="16"/>
    </row>
    <row r="116" spans="2:4" x14ac:dyDescent="0.2">
      <c r="B116" s="19"/>
      <c r="C116" s="19"/>
      <c r="D116" s="16"/>
    </row>
    <row r="117" spans="2:4" x14ac:dyDescent="0.2">
      <c r="B117" s="19"/>
      <c r="C117" s="19"/>
      <c r="D117" s="16"/>
    </row>
    <row r="118" spans="2:4" x14ac:dyDescent="0.2">
      <c r="B118" s="19"/>
      <c r="C118" s="19"/>
      <c r="D118" s="16"/>
    </row>
    <row r="119" spans="2:4" x14ac:dyDescent="0.2">
      <c r="B119" s="19"/>
      <c r="C119" s="19"/>
      <c r="D119" s="16"/>
    </row>
    <row r="120" spans="2:4" x14ac:dyDescent="0.2">
      <c r="B120" s="19"/>
      <c r="C120" s="19"/>
      <c r="D120" s="16"/>
    </row>
    <row r="121" spans="2:4" x14ac:dyDescent="0.2">
      <c r="B121" s="19"/>
      <c r="C121" s="19"/>
      <c r="D121" s="16"/>
    </row>
    <row r="122" spans="2:4" x14ac:dyDescent="0.2">
      <c r="B122" s="19"/>
      <c r="C122" s="19"/>
      <c r="D122" s="16"/>
    </row>
    <row r="123" spans="2:4" x14ac:dyDescent="0.2">
      <c r="B123" s="19"/>
      <c r="C123" s="19"/>
      <c r="D123" s="16"/>
    </row>
    <row r="124" spans="2:4" x14ac:dyDescent="0.2">
      <c r="B124" s="19"/>
      <c r="C124" s="19"/>
      <c r="D124" s="16"/>
    </row>
    <row r="125" spans="2:4" x14ac:dyDescent="0.2">
      <c r="B125" s="19"/>
      <c r="C125" s="19"/>
      <c r="D125" s="16"/>
    </row>
    <row r="126" spans="2:4" x14ac:dyDescent="0.2">
      <c r="B126" s="19"/>
      <c r="C126" s="19"/>
      <c r="D126" s="16"/>
    </row>
    <row r="127" spans="2:4" x14ac:dyDescent="0.2">
      <c r="B127" s="19"/>
      <c r="C127" s="19"/>
      <c r="D127" s="16"/>
    </row>
    <row r="128" spans="2:4" x14ac:dyDescent="0.2">
      <c r="B128" s="19"/>
      <c r="C128" s="19"/>
      <c r="D128" s="16"/>
    </row>
    <row r="129" spans="2:4" x14ac:dyDescent="0.2">
      <c r="B129" s="19"/>
      <c r="C129" s="19"/>
      <c r="D129" s="16"/>
    </row>
    <row r="130" spans="2:4" x14ac:dyDescent="0.2">
      <c r="B130" s="19"/>
      <c r="C130" s="19"/>
      <c r="D130" s="16"/>
    </row>
    <row r="131" spans="2:4" x14ac:dyDescent="0.2">
      <c r="B131" s="19"/>
      <c r="C131" s="19"/>
      <c r="D131" s="16"/>
    </row>
    <row r="132" spans="2:4" x14ac:dyDescent="0.2">
      <c r="B132" s="19"/>
      <c r="C132" s="19"/>
      <c r="D132" s="16"/>
    </row>
    <row r="133" spans="2:4" x14ac:dyDescent="0.2">
      <c r="B133" s="19"/>
      <c r="C133" s="19"/>
      <c r="D133" s="16"/>
    </row>
    <row r="134" spans="2:4" x14ac:dyDescent="0.2">
      <c r="B134" s="19"/>
      <c r="C134" s="19"/>
      <c r="D134" s="16"/>
    </row>
    <row r="135" spans="2:4" x14ac:dyDescent="0.2">
      <c r="B135" s="19"/>
      <c r="C135" s="19"/>
      <c r="D135" s="16"/>
    </row>
    <row r="136" spans="2:4" x14ac:dyDescent="0.2">
      <c r="B136" s="19"/>
      <c r="C136" s="19"/>
      <c r="D136" s="16"/>
    </row>
    <row r="137" spans="2:4" x14ac:dyDescent="0.2">
      <c r="B137" s="19"/>
      <c r="C137" s="19"/>
      <c r="D137" s="16"/>
    </row>
    <row r="138" spans="2:4" x14ac:dyDescent="0.2">
      <c r="B138" s="19"/>
      <c r="C138" s="19"/>
      <c r="D138" s="16"/>
    </row>
    <row r="139" spans="2:4" x14ac:dyDescent="0.2">
      <c r="B139" s="19"/>
      <c r="C139" s="19"/>
      <c r="D139" s="16"/>
    </row>
    <row r="140" spans="2:4" x14ac:dyDescent="0.2">
      <c r="B140" s="19"/>
      <c r="C140" s="19"/>
      <c r="D140" s="16"/>
    </row>
    <row r="141" spans="2:4" x14ac:dyDescent="0.2">
      <c r="B141" s="19"/>
      <c r="C141" s="19"/>
      <c r="D141" s="16"/>
    </row>
    <row r="142" spans="2:4" x14ac:dyDescent="0.2">
      <c r="B142" s="19"/>
      <c r="C142" s="19"/>
      <c r="D142" s="16"/>
    </row>
    <row r="143" spans="2:4" x14ac:dyDescent="0.2">
      <c r="B143" s="19"/>
      <c r="C143" s="19"/>
      <c r="D143" s="16"/>
    </row>
    <row r="144" spans="2:4" x14ac:dyDescent="0.2">
      <c r="B144" s="19"/>
      <c r="C144" s="19"/>
      <c r="D144" s="16"/>
    </row>
    <row r="145" spans="2:4" x14ac:dyDescent="0.2">
      <c r="B145" s="19"/>
      <c r="C145" s="19"/>
      <c r="D145" s="16"/>
    </row>
    <row r="146" spans="2:4" x14ac:dyDescent="0.2">
      <c r="B146" s="19"/>
      <c r="C146" s="19"/>
      <c r="D146" s="16"/>
    </row>
    <row r="147" spans="2:4" x14ac:dyDescent="0.2">
      <c r="B147" s="19"/>
      <c r="C147" s="19"/>
      <c r="D147" s="16"/>
    </row>
    <row r="148" spans="2:4" x14ac:dyDescent="0.2">
      <c r="B148" s="19"/>
      <c r="C148" s="19"/>
      <c r="D148" s="16"/>
    </row>
    <row r="149" spans="2:4" x14ac:dyDescent="0.2">
      <c r="B149" s="19"/>
      <c r="C149" s="19"/>
      <c r="D149" s="16"/>
    </row>
    <row r="150" spans="2:4" x14ac:dyDescent="0.2">
      <c r="B150" s="19"/>
      <c r="C150" s="19"/>
      <c r="D150" s="16"/>
    </row>
    <row r="151" spans="2:4" x14ac:dyDescent="0.2">
      <c r="B151" s="19"/>
      <c r="C151" s="19"/>
      <c r="D151" s="16"/>
    </row>
    <row r="152" spans="2:4" x14ac:dyDescent="0.2">
      <c r="B152" s="19"/>
      <c r="C152" s="19"/>
      <c r="D152" s="16"/>
    </row>
    <row r="153" spans="2:4" x14ac:dyDescent="0.2">
      <c r="B153" s="19"/>
      <c r="C153" s="19"/>
      <c r="D153" s="16"/>
    </row>
    <row r="154" spans="2:4" x14ac:dyDescent="0.2">
      <c r="B154" s="19"/>
      <c r="C154" s="19"/>
      <c r="D154" s="16"/>
    </row>
    <row r="155" spans="2:4" x14ac:dyDescent="0.2">
      <c r="B155" s="19"/>
      <c r="C155" s="19"/>
      <c r="D155" s="16"/>
    </row>
    <row r="156" spans="2:4" x14ac:dyDescent="0.2">
      <c r="B156" s="19"/>
      <c r="C156" s="19"/>
      <c r="D156" s="16"/>
    </row>
    <row r="157" spans="2:4" x14ac:dyDescent="0.2">
      <c r="B157" s="19"/>
      <c r="C157" s="19"/>
      <c r="D157" s="16"/>
    </row>
    <row r="158" spans="2:4" x14ac:dyDescent="0.2">
      <c r="B158" s="19"/>
      <c r="C158" s="19"/>
      <c r="D158" s="16"/>
    </row>
    <row r="159" spans="2:4" x14ac:dyDescent="0.2">
      <c r="B159" s="19"/>
      <c r="C159" s="19"/>
      <c r="D159" s="16"/>
    </row>
    <row r="160" spans="2:4" x14ac:dyDescent="0.2">
      <c r="B160" s="19"/>
      <c r="C160" s="19"/>
      <c r="D160" s="16"/>
    </row>
    <row r="161" spans="2:4" x14ac:dyDescent="0.2">
      <c r="B161" s="19"/>
      <c r="C161" s="19"/>
      <c r="D161" s="16"/>
    </row>
    <row r="162" spans="2:4" x14ac:dyDescent="0.2">
      <c r="B162" s="19"/>
      <c r="C162" s="19"/>
      <c r="D162" s="16"/>
    </row>
    <row r="163" spans="2:4" x14ac:dyDescent="0.2">
      <c r="B163" s="19"/>
      <c r="C163" s="19"/>
      <c r="D163" s="16"/>
    </row>
    <row r="164" spans="2:4" x14ac:dyDescent="0.2">
      <c r="B164" s="19"/>
      <c r="C164" s="19"/>
      <c r="D164" s="16"/>
    </row>
    <row r="165" spans="2:4" x14ac:dyDescent="0.2">
      <c r="B165" s="19"/>
      <c r="C165" s="19"/>
      <c r="D165" s="16"/>
    </row>
    <row r="166" spans="2:4" x14ac:dyDescent="0.2">
      <c r="B166" s="19"/>
      <c r="C166" s="19"/>
      <c r="D166" s="16"/>
    </row>
    <row r="167" spans="2:4" x14ac:dyDescent="0.2">
      <c r="B167" s="19"/>
      <c r="C167" s="19"/>
      <c r="D167" s="16"/>
    </row>
    <row r="168" spans="2:4" x14ac:dyDescent="0.2">
      <c r="B168" s="19"/>
      <c r="C168" s="19"/>
      <c r="D168" s="16"/>
    </row>
    <row r="169" spans="2:4" x14ac:dyDescent="0.2">
      <c r="B169" s="19"/>
      <c r="C169" s="19"/>
      <c r="D169" s="16"/>
    </row>
    <row r="170" spans="2:4" x14ac:dyDescent="0.2">
      <c r="B170" s="19"/>
      <c r="C170" s="19"/>
      <c r="D170" s="16"/>
    </row>
    <row r="171" spans="2:4" x14ac:dyDescent="0.2">
      <c r="B171" s="19"/>
      <c r="C171" s="19"/>
      <c r="D171" s="16"/>
    </row>
    <row r="172" spans="2:4" x14ac:dyDescent="0.2">
      <c r="B172" s="19"/>
      <c r="C172" s="19"/>
      <c r="D172" s="16"/>
    </row>
    <row r="173" spans="2:4" x14ac:dyDescent="0.2">
      <c r="B173" s="19"/>
      <c r="C173" s="19"/>
      <c r="D173" s="16"/>
    </row>
    <row r="174" spans="2:4" x14ac:dyDescent="0.2">
      <c r="B174" s="19"/>
      <c r="C174" s="19"/>
      <c r="D174" s="16"/>
    </row>
    <row r="175" spans="2:4" x14ac:dyDescent="0.2">
      <c r="B175" s="19"/>
      <c r="C175" s="19"/>
      <c r="D175" s="16"/>
    </row>
    <row r="176" spans="2:4" x14ac:dyDescent="0.2">
      <c r="B176" s="19"/>
      <c r="C176" s="19"/>
      <c r="D176" s="16"/>
    </row>
    <row r="177" spans="2:4" x14ac:dyDescent="0.2">
      <c r="B177" s="19"/>
      <c r="C177" s="19"/>
      <c r="D177" s="16"/>
    </row>
    <row r="178" spans="2:4" x14ac:dyDescent="0.2">
      <c r="B178" s="19"/>
      <c r="C178" s="19"/>
      <c r="D178" s="16"/>
    </row>
    <row r="179" spans="2:4" x14ac:dyDescent="0.2">
      <c r="B179" s="19"/>
      <c r="C179" s="19"/>
      <c r="D179" s="16"/>
    </row>
    <row r="180" spans="2:4" x14ac:dyDescent="0.2">
      <c r="B180" s="19"/>
      <c r="C180" s="19"/>
      <c r="D180" s="16"/>
    </row>
    <row r="181" spans="2:4" x14ac:dyDescent="0.2">
      <c r="B181" s="19"/>
      <c r="C181" s="19"/>
      <c r="D181" s="16"/>
    </row>
    <row r="182" spans="2:4" x14ac:dyDescent="0.2">
      <c r="B182" s="19"/>
      <c r="C182" s="19"/>
      <c r="D182" s="16"/>
    </row>
    <row r="183" spans="2:4" x14ac:dyDescent="0.2">
      <c r="B183" s="19"/>
      <c r="C183" s="19"/>
      <c r="D183" s="16"/>
    </row>
    <row r="184" spans="2:4" x14ac:dyDescent="0.2">
      <c r="B184" s="19"/>
      <c r="C184" s="19"/>
      <c r="D184" s="16"/>
    </row>
    <row r="185" spans="2:4" x14ac:dyDescent="0.2">
      <c r="B185" s="19"/>
      <c r="C185" s="19"/>
      <c r="D185" s="16"/>
    </row>
    <row r="186" spans="2:4" x14ac:dyDescent="0.2">
      <c r="B186" s="19"/>
      <c r="C186" s="19"/>
      <c r="D186" s="16"/>
    </row>
    <row r="187" spans="2:4" x14ac:dyDescent="0.2">
      <c r="B187" s="19"/>
      <c r="C187" s="19"/>
      <c r="D187" s="16"/>
    </row>
    <row r="188" spans="2:4" x14ac:dyDescent="0.2">
      <c r="B188" s="19"/>
      <c r="C188" s="19"/>
      <c r="D188" s="16"/>
    </row>
    <row r="189" spans="2:4" x14ac:dyDescent="0.2">
      <c r="B189" s="19"/>
      <c r="C189" s="19"/>
      <c r="D189" s="16"/>
    </row>
    <row r="190" spans="2:4" x14ac:dyDescent="0.2">
      <c r="B190" s="19"/>
      <c r="C190" s="19"/>
      <c r="D190" s="16"/>
    </row>
    <row r="191" spans="2:4" x14ac:dyDescent="0.2">
      <c r="B191" s="19"/>
      <c r="C191" s="19"/>
      <c r="D191" s="16"/>
    </row>
    <row r="192" spans="2:4" x14ac:dyDescent="0.2">
      <c r="B192" s="19"/>
      <c r="C192" s="19"/>
      <c r="D192" s="16"/>
    </row>
    <row r="193" spans="2:4" x14ac:dyDescent="0.2">
      <c r="B193" s="19"/>
      <c r="C193" s="19"/>
      <c r="D193" s="16"/>
    </row>
    <row r="194" spans="2:4" x14ac:dyDescent="0.2">
      <c r="B194" s="19"/>
      <c r="C194" s="19"/>
      <c r="D194" s="16"/>
    </row>
    <row r="195" spans="2:4" x14ac:dyDescent="0.2">
      <c r="B195" s="19"/>
      <c r="C195" s="19"/>
      <c r="D195" s="16"/>
    </row>
    <row r="196" spans="2:4" x14ac:dyDescent="0.2">
      <c r="B196" s="19"/>
      <c r="C196" s="19"/>
      <c r="D196" s="16"/>
    </row>
    <row r="197" spans="2:4" x14ac:dyDescent="0.2">
      <c r="B197" s="19"/>
      <c r="C197" s="19"/>
      <c r="D197" s="16"/>
    </row>
    <row r="198" spans="2:4" x14ac:dyDescent="0.2">
      <c r="B198" s="19"/>
      <c r="C198" s="19"/>
      <c r="D198" s="16"/>
    </row>
    <row r="199" spans="2:4" x14ac:dyDescent="0.2">
      <c r="B199" s="19"/>
      <c r="C199" s="19"/>
      <c r="D199" s="16"/>
    </row>
    <row r="200" spans="2:4" x14ac:dyDescent="0.2">
      <c r="B200" s="19"/>
      <c r="C200" s="19"/>
      <c r="D200" s="16"/>
    </row>
    <row r="201" spans="2:4" x14ac:dyDescent="0.2">
      <c r="B201" s="19"/>
      <c r="C201" s="19"/>
      <c r="D201" s="16"/>
    </row>
    <row r="202" spans="2:4" x14ac:dyDescent="0.2">
      <c r="B202" s="19"/>
      <c r="C202" s="19"/>
      <c r="D202" s="16"/>
    </row>
    <row r="203" spans="2:4" x14ac:dyDescent="0.2">
      <c r="B203" s="19"/>
      <c r="C203" s="19"/>
      <c r="D203" s="16"/>
    </row>
    <row r="204" spans="2:4" x14ac:dyDescent="0.2">
      <c r="B204" s="19"/>
      <c r="C204" s="19"/>
      <c r="D204" s="16"/>
    </row>
    <row r="205" spans="2:4" x14ac:dyDescent="0.2">
      <c r="B205" s="19"/>
      <c r="C205" s="19"/>
      <c r="D205" s="16"/>
    </row>
    <row r="206" spans="2:4" x14ac:dyDescent="0.2">
      <c r="B206" s="19"/>
      <c r="C206" s="19"/>
      <c r="D206" s="16"/>
    </row>
    <row r="207" spans="2:4" x14ac:dyDescent="0.2">
      <c r="B207" s="19"/>
      <c r="C207" s="19"/>
      <c r="D207" s="16"/>
    </row>
    <row r="208" spans="2:4" x14ac:dyDescent="0.2">
      <c r="B208" s="19"/>
      <c r="C208" s="19"/>
      <c r="D208" s="16"/>
    </row>
    <row r="209" spans="2:4" x14ac:dyDescent="0.2">
      <c r="B209" s="19"/>
      <c r="C209" s="19"/>
      <c r="D209" s="16"/>
    </row>
    <row r="210" spans="2:4" x14ac:dyDescent="0.2">
      <c r="B210" s="19"/>
      <c r="C210" s="19"/>
      <c r="D210" s="16"/>
    </row>
    <row r="211" spans="2:4" x14ac:dyDescent="0.2">
      <c r="B211" s="19"/>
      <c r="C211" s="19"/>
      <c r="D211" s="16"/>
    </row>
    <row r="212" spans="2:4" x14ac:dyDescent="0.2">
      <c r="B212" s="19"/>
      <c r="C212" s="19"/>
      <c r="D212" s="16"/>
    </row>
    <row r="213" spans="2:4" x14ac:dyDescent="0.2">
      <c r="B213" s="19"/>
      <c r="C213" s="19"/>
      <c r="D213" s="16"/>
    </row>
    <row r="214" spans="2:4" x14ac:dyDescent="0.2">
      <c r="B214" s="19"/>
      <c r="C214" s="19"/>
      <c r="D214" s="16"/>
    </row>
    <row r="215" spans="2:4" x14ac:dyDescent="0.2">
      <c r="B215" s="19"/>
      <c r="C215" s="19"/>
      <c r="D215" s="16"/>
    </row>
    <row r="216" spans="2:4" x14ac:dyDescent="0.2">
      <c r="B216" s="19"/>
      <c r="C216" s="19"/>
      <c r="D216" s="16"/>
    </row>
    <row r="217" spans="2:4" x14ac:dyDescent="0.2">
      <c r="B217" s="19"/>
      <c r="C217" s="19"/>
      <c r="D217" s="16"/>
    </row>
    <row r="218" spans="2:4" x14ac:dyDescent="0.2">
      <c r="B218" s="19"/>
      <c r="C218" s="19"/>
      <c r="D218" s="16"/>
    </row>
    <row r="219" spans="2:4" x14ac:dyDescent="0.2">
      <c r="B219" s="19"/>
      <c r="C219" s="19"/>
      <c r="D219" s="16"/>
    </row>
    <row r="220" spans="2:4" x14ac:dyDescent="0.2">
      <c r="B220" s="19"/>
      <c r="C220" s="19"/>
      <c r="D220" s="16"/>
    </row>
    <row r="221" spans="2:4" x14ac:dyDescent="0.2">
      <c r="B221" s="19"/>
      <c r="C221" s="19"/>
      <c r="D221" s="16"/>
    </row>
    <row r="222" spans="2:4" x14ac:dyDescent="0.2">
      <c r="B222" s="19"/>
      <c r="C222" s="19"/>
      <c r="D222" s="16"/>
    </row>
    <row r="223" spans="2:4" x14ac:dyDescent="0.2">
      <c r="B223" s="19"/>
      <c r="C223" s="19"/>
      <c r="D223" s="16"/>
    </row>
    <row r="224" spans="2:4" x14ac:dyDescent="0.2">
      <c r="B224" s="19"/>
      <c r="C224" s="19"/>
      <c r="D224" s="16"/>
    </row>
    <row r="225" spans="2:4" x14ac:dyDescent="0.2">
      <c r="B225" s="19"/>
      <c r="C225" s="19"/>
      <c r="D225" s="16"/>
    </row>
    <row r="226" spans="2:4" x14ac:dyDescent="0.2">
      <c r="B226" s="19"/>
      <c r="C226" s="19"/>
      <c r="D226" s="16"/>
    </row>
    <row r="227" spans="2:4" x14ac:dyDescent="0.2">
      <c r="B227" s="19"/>
      <c r="C227" s="19"/>
      <c r="D227" s="16"/>
    </row>
    <row r="228" spans="2:4" x14ac:dyDescent="0.2">
      <c r="B228" s="19"/>
      <c r="C228" s="19"/>
      <c r="D228" s="16"/>
    </row>
    <row r="229" spans="2:4" x14ac:dyDescent="0.2">
      <c r="B229" s="19"/>
      <c r="C229" s="19"/>
      <c r="D229" s="16"/>
    </row>
    <row r="230" spans="2:4" x14ac:dyDescent="0.2">
      <c r="B230" s="19"/>
      <c r="C230" s="19"/>
      <c r="D230" s="16"/>
    </row>
    <row r="231" spans="2:4" x14ac:dyDescent="0.2">
      <c r="B231" s="19"/>
      <c r="C231" s="19"/>
      <c r="D231" s="16"/>
    </row>
    <row r="232" spans="2:4" x14ac:dyDescent="0.2">
      <c r="B232" s="19"/>
      <c r="C232" s="19"/>
      <c r="D232" s="16"/>
    </row>
    <row r="233" spans="2:4" x14ac:dyDescent="0.2">
      <c r="B233" s="19"/>
      <c r="C233" s="19"/>
      <c r="D233" s="16"/>
    </row>
    <row r="234" spans="2:4" x14ac:dyDescent="0.2">
      <c r="B234" s="19"/>
      <c r="C234" s="19"/>
      <c r="D234" s="16"/>
    </row>
    <row r="235" spans="2:4" x14ac:dyDescent="0.2">
      <c r="B235" s="19"/>
      <c r="C235" s="19"/>
      <c r="D235" s="16"/>
    </row>
    <row r="236" spans="2:4" x14ac:dyDescent="0.2">
      <c r="B236" s="19"/>
      <c r="C236" s="19"/>
      <c r="D236" s="16"/>
    </row>
    <row r="237" spans="2:4" x14ac:dyDescent="0.2">
      <c r="B237" s="19"/>
      <c r="C237" s="19"/>
      <c r="D237" s="16"/>
    </row>
    <row r="238" spans="2:4" x14ac:dyDescent="0.2">
      <c r="B238" s="19"/>
      <c r="C238" s="19"/>
      <c r="D238" s="16"/>
    </row>
    <row r="239" spans="2:4" x14ac:dyDescent="0.2">
      <c r="B239" s="19"/>
      <c r="C239" s="19"/>
      <c r="D239" s="16"/>
    </row>
    <row r="240" spans="2:4" x14ac:dyDescent="0.2">
      <c r="B240" s="19"/>
      <c r="C240" s="19"/>
      <c r="D240" s="16"/>
    </row>
    <row r="241" spans="2:4" x14ac:dyDescent="0.2">
      <c r="B241" s="19"/>
      <c r="C241" s="19"/>
      <c r="D241" s="16"/>
    </row>
    <row r="242" spans="2:4" x14ac:dyDescent="0.2">
      <c r="B242" s="19"/>
      <c r="C242" s="19"/>
      <c r="D242" s="16"/>
    </row>
    <row r="243" spans="2:4" x14ac:dyDescent="0.2">
      <c r="B243" s="19"/>
      <c r="C243" s="19"/>
      <c r="D243" s="16"/>
    </row>
    <row r="244" spans="2:4" x14ac:dyDescent="0.2">
      <c r="B244" s="19"/>
      <c r="C244" s="19"/>
      <c r="D244" s="16"/>
    </row>
    <row r="245" spans="2:4" x14ac:dyDescent="0.2">
      <c r="B245" s="19"/>
      <c r="C245" s="19"/>
      <c r="D245" s="16"/>
    </row>
    <row r="246" spans="2:4" x14ac:dyDescent="0.2">
      <c r="B246" s="19"/>
      <c r="C246" s="19"/>
      <c r="D246" s="16"/>
    </row>
    <row r="247" spans="2:4" x14ac:dyDescent="0.2">
      <c r="B247" s="19"/>
      <c r="C247" s="19"/>
      <c r="D247" s="16"/>
    </row>
    <row r="248" spans="2:4" x14ac:dyDescent="0.2">
      <c r="B248" s="19"/>
      <c r="C248" s="19"/>
      <c r="D248" s="16"/>
    </row>
    <row r="249" spans="2:4" x14ac:dyDescent="0.2">
      <c r="B249" s="19"/>
      <c r="C249" s="19"/>
      <c r="D249" s="16"/>
    </row>
    <row r="250" spans="2:4" x14ac:dyDescent="0.2">
      <c r="B250" s="19"/>
      <c r="C250" s="19"/>
      <c r="D250" s="16"/>
    </row>
    <row r="251" spans="2:4" x14ac:dyDescent="0.2">
      <c r="B251" s="19"/>
      <c r="C251" s="19"/>
      <c r="D251" s="16"/>
    </row>
    <row r="252" spans="2:4" x14ac:dyDescent="0.2">
      <c r="B252" s="19"/>
      <c r="C252" s="19"/>
      <c r="D252" s="16"/>
    </row>
    <row r="253" spans="2:4" x14ac:dyDescent="0.2">
      <c r="B253" s="19"/>
      <c r="C253" s="19"/>
      <c r="D253" s="16"/>
    </row>
    <row r="254" spans="2:4" x14ac:dyDescent="0.2">
      <c r="B254" s="19"/>
      <c r="C254" s="19"/>
      <c r="D254" s="16"/>
    </row>
    <row r="255" spans="2:4" x14ac:dyDescent="0.2">
      <c r="B255" s="19"/>
      <c r="C255" s="19"/>
      <c r="D255" s="16"/>
    </row>
    <row r="256" spans="2:4" x14ac:dyDescent="0.2">
      <c r="B256" s="19"/>
      <c r="C256" s="19"/>
      <c r="D256" s="16"/>
    </row>
    <row r="257" spans="2:4" x14ac:dyDescent="0.2">
      <c r="B257" s="20"/>
      <c r="C257" s="20"/>
      <c r="D257" s="20"/>
    </row>
  </sheetData>
  <autoFilter ref="A1:Q2" xr:uid="{389E8EA0-E9ED-449A-B52E-4BBE7BDE6D97}"/>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Fuentes</vt:lpstr>
      <vt:lpstr>Calculos</vt:lpstr>
      <vt:lpstr>Costo de la justicia</vt:lpstr>
      <vt:lpstr>Cobertura</vt:lpstr>
      <vt:lpstr>Dotación RH</vt:lpstr>
      <vt:lpstr>Carga de trabajo</vt:lpstr>
      <vt:lpstr>Delitos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mvargasb</dc:creator>
  <cp:keywords/>
  <dc:description/>
  <cp:lastModifiedBy>Luis Alonso Bonilla Bastos</cp:lastModifiedBy>
  <cp:revision/>
  <dcterms:created xsi:type="dcterms:W3CDTF">2019-09-19T20:05:04Z</dcterms:created>
  <dcterms:modified xsi:type="dcterms:W3CDTF">2021-02-02T17:29:56Z</dcterms:modified>
  <cp:category/>
  <cp:contentStatus/>
</cp:coreProperties>
</file>